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Questa_cartella_di_lavoro"/>
  <mc:AlternateContent xmlns:mc="http://schemas.openxmlformats.org/markup-compatibility/2006">
    <mc:Choice Requires="x15">
      <x15ac:absPath xmlns:x15ac="http://schemas.microsoft.com/office/spreadsheetml/2010/11/ac" url="C:\Users\giovanna\Documents\lavoro università\"/>
    </mc:Choice>
  </mc:AlternateContent>
  <xr:revisionPtr revIDLastSave="0" documentId="13_ncr:1_{7B84D352-51C8-4A02-A323-BF198C82840F}" xr6:coauthVersionLast="45" xr6:coauthVersionMax="45" xr10:uidLastSave="{00000000-0000-0000-0000-000000000000}"/>
  <bookViews>
    <workbookView xWindow="-110" yWindow="-110" windowWidth="19420" windowHeight="10420" tabRatio="769" firstSheet="4" activeTab="5" xr2:uid="{00000000-000D-0000-FFFF-FFFF00000000}"/>
  </bookViews>
  <sheets>
    <sheet name="Dati Iscritti totali AA 2017-18" sheetId="11" r:id="rId1"/>
    <sheet name="Tabella offerte formative" sheetId="12" r:id="rId2"/>
    <sheet name="dati immatr. L-18 &amp; L-33" sheetId="4" state="hidden" r:id="rId3"/>
    <sheet name="Sheet3" sheetId="7" state="hidden" r:id="rId4"/>
    <sheet name="Immatr L-18" sheetId="8" r:id="rId5"/>
    <sheet name="Immatr &amp; Iscr L-33" sheetId="6" r:id="rId6"/>
    <sheet name="Laureati L-33 post studio" sheetId="14" r:id="rId7"/>
    <sheet name="Libri di testo" sheetId="13" r:id="rId8"/>
    <sheet name="Laureati LM-56" sheetId="9" state="hidden" r:id="rId9"/>
    <sheet name="Laureati LM-56 AlmaLaurea" sheetId="10" r:id="rId10"/>
    <sheet name="CFU CORSI DI LAUREA" sheetId="1" r:id="rId11"/>
  </sheets>
  <definedNames>
    <definedName name="_xlnm._FilterDatabase" localSheetId="0" hidden="1">'Dati Iscritti totali AA 2017-18'!$A$2:$B$2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6" i="6" l="1"/>
  <c r="Q56" i="6"/>
  <c r="R56" i="6"/>
  <c r="S56" i="6"/>
  <c r="T56" i="6"/>
  <c r="U56" i="6"/>
  <c r="O56" i="6"/>
  <c r="P55" i="6"/>
  <c r="Q55" i="6"/>
  <c r="R55" i="6"/>
  <c r="S55" i="6"/>
  <c r="T55" i="6"/>
  <c r="U55" i="6"/>
  <c r="O55" i="6"/>
  <c r="P54" i="6"/>
  <c r="Q54" i="6"/>
  <c r="R54" i="6"/>
  <c r="S54" i="6"/>
  <c r="T54" i="6"/>
  <c r="U54" i="6"/>
  <c r="O54" i="6"/>
  <c r="R58" i="6"/>
  <c r="Q58" i="6" l="1"/>
  <c r="P58" i="6"/>
  <c r="U58" i="6"/>
  <c r="T58" i="6"/>
  <c r="S58" i="6"/>
  <c r="O58" i="6"/>
  <c r="P4" i="1"/>
  <c r="P6" i="1"/>
  <c r="P8" i="1"/>
  <c r="P11" i="1"/>
  <c r="P12" i="1"/>
  <c r="P18" i="1"/>
  <c r="P19" i="1"/>
  <c r="P20" i="1"/>
  <c r="P27" i="1"/>
  <c r="P28" i="1"/>
  <c r="P29" i="1"/>
  <c r="P31" i="1"/>
  <c r="P32" i="1"/>
  <c r="P34" i="1"/>
  <c r="P36" i="1"/>
  <c r="P37" i="1"/>
  <c r="Q6" i="1"/>
  <c r="Q8" i="1"/>
  <c r="Q11" i="1"/>
  <c r="Q12" i="1"/>
  <c r="Q16" i="1"/>
  <c r="Q19" i="1"/>
  <c r="Q22" i="1"/>
  <c r="Q24" i="1"/>
  <c r="Q27" i="1"/>
  <c r="Q28" i="1"/>
  <c r="Q29" i="1"/>
  <c r="Q31" i="1"/>
  <c r="Q32" i="1"/>
  <c r="Q37" i="1"/>
  <c r="N44" i="1"/>
  <c r="N43" i="1"/>
  <c r="N42" i="1"/>
  <c r="K44" i="1"/>
  <c r="K43" i="1"/>
  <c r="K42" i="1"/>
  <c r="O34" i="1"/>
  <c r="Q34" i="1" s="1"/>
  <c r="O35" i="1"/>
  <c r="Q35" i="1" s="1"/>
  <c r="O36" i="1"/>
  <c r="Q36" i="1" s="1"/>
  <c r="O38" i="1"/>
  <c r="Q38" i="1" s="1"/>
  <c r="O33" i="1"/>
  <c r="Q33" i="1" s="1"/>
  <c r="O30" i="1"/>
  <c r="P30" i="1" s="1"/>
  <c r="O21" i="1"/>
  <c r="P21" i="1" s="1"/>
  <c r="O22" i="1"/>
  <c r="P22" i="1" s="1"/>
  <c r="O23" i="1"/>
  <c r="P23" i="1" s="1"/>
  <c r="O24" i="1"/>
  <c r="P24" i="1" s="1"/>
  <c r="O25" i="1"/>
  <c r="Q25" i="1" s="1"/>
  <c r="O26" i="1"/>
  <c r="Q26" i="1" s="1"/>
  <c r="O20" i="1"/>
  <c r="Q20" i="1" s="1"/>
  <c r="O14" i="1"/>
  <c r="Q14" i="1" s="1"/>
  <c r="O15" i="1"/>
  <c r="P15" i="1" s="1"/>
  <c r="O16" i="1"/>
  <c r="P16" i="1" s="1"/>
  <c r="O17" i="1"/>
  <c r="Q17" i="1" s="1"/>
  <c r="O18" i="1"/>
  <c r="Q18" i="1" s="1"/>
  <c r="O13" i="1"/>
  <c r="P13" i="1" s="1"/>
  <c r="O10" i="1"/>
  <c r="P10" i="1" s="1"/>
  <c r="O9" i="1"/>
  <c r="Q9" i="1" s="1"/>
  <c r="O7" i="1"/>
  <c r="P7" i="1" s="1"/>
  <c r="O4" i="1"/>
  <c r="Q4" i="1" s="1"/>
  <c r="O5" i="1"/>
  <c r="P5" i="1" s="1"/>
  <c r="O3" i="1"/>
  <c r="O43" i="1" s="1"/>
  <c r="R4" i="1"/>
  <c r="R5" i="1"/>
  <c r="R6" i="1"/>
  <c r="R7" i="1"/>
  <c r="R8" i="1"/>
  <c r="R9" i="1"/>
  <c r="R10" i="1"/>
  <c r="R11" i="1"/>
  <c r="R12" i="1"/>
  <c r="R13" i="1"/>
  <c r="R14" i="1"/>
  <c r="R15" i="1"/>
  <c r="R16" i="1"/>
  <c r="R18" i="1"/>
  <c r="R19" i="1"/>
  <c r="R20" i="1"/>
  <c r="R21" i="1"/>
  <c r="R22" i="1"/>
  <c r="R23" i="1"/>
  <c r="R24" i="1"/>
  <c r="R25" i="1"/>
  <c r="R26" i="1"/>
  <c r="R27" i="1"/>
  <c r="R28" i="1"/>
  <c r="R29" i="1"/>
  <c r="R30" i="1"/>
  <c r="R31" i="1"/>
  <c r="R32" i="1"/>
  <c r="R33" i="1"/>
  <c r="R34" i="1"/>
  <c r="R35" i="1"/>
  <c r="R36" i="1"/>
  <c r="R37" i="1"/>
  <c r="R38" i="1"/>
  <c r="R3" i="1"/>
  <c r="R43" i="1" s="1"/>
  <c r="M6" i="1"/>
  <c r="M7" i="1"/>
  <c r="M8" i="1"/>
  <c r="M9" i="1"/>
  <c r="M10" i="1"/>
  <c r="M11" i="1"/>
  <c r="M12" i="1"/>
  <c r="M13" i="1"/>
  <c r="M14" i="1"/>
  <c r="M15" i="1"/>
  <c r="M16" i="1"/>
  <c r="M18" i="1"/>
  <c r="M19" i="1"/>
  <c r="M20" i="1"/>
  <c r="M21" i="1"/>
  <c r="M22" i="1"/>
  <c r="M23" i="1"/>
  <c r="M24" i="1"/>
  <c r="M25" i="1"/>
  <c r="M26" i="1"/>
  <c r="M27" i="1"/>
  <c r="M28" i="1"/>
  <c r="M29" i="1"/>
  <c r="M30" i="1"/>
  <c r="M31" i="1"/>
  <c r="M32" i="1"/>
  <c r="M33" i="1"/>
  <c r="M34" i="1"/>
  <c r="M35" i="1"/>
  <c r="M36" i="1"/>
  <c r="M37" i="1"/>
  <c r="M38" i="1"/>
  <c r="M5" i="1"/>
  <c r="M4" i="1"/>
  <c r="M3" i="1"/>
  <c r="M44" i="1" s="1"/>
  <c r="L4" i="1"/>
  <c r="L5" i="1"/>
  <c r="L6" i="1"/>
  <c r="L7" i="1"/>
  <c r="L8" i="1"/>
  <c r="L43" i="1" s="1"/>
  <c r="L9" i="1"/>
  <c r="L10" i="1"/>
  <c r="L11" i="1"/>
  <c r="L12" i="1"/>
  <c r="L13" i="1"/>
  <c r="L14" i="1"/>
  <c r="L15" i="1"/>
  <c r="L16" i="1"/>
  <c r="L18" i="1"/>
  <c r="L19" i="1"/>
  <c r="L20" i="1"/>
  <c r="L21" i="1"/>
  <c r="L22" i="1"/>
  <c r="L23" i="1"/>
  <c r="L24" i="1"/>
  <c r="L25" i="1"/>
  <c r="L26" i="1"/>
  <c r="L27" i="1"/>
  <c r="L28" i="1"/>
  <c r="L29" i="1"/>
  <c r="L30" i="1"/>
  <c r="L31" i="1"/>
  <c r="L32" i="1"/>
  <c r="L33" i="1"/>
  <c r="L34" i="1"/>
  <c r="L35" i="1"/>
  <c r="L36" i="1"/>
  <c r="L37" i="1"/>
  <c r="L38" i="1"/>
  <c r="L3" i="1"/>
  <c r="L42" i="1" s="1"/>
  <c r="L44" i="1" l="1"/>
  <c r="R42" i="1"/>
  <c r="M43" i="1"/>
  <c r="Q3" i="1"/>
  <c r="Q23" i="1"/>
  <c r="Q15" i="1"/>
  <c r="Q7" i="1"/>
  <c r="P35" i="1"/>
  <c r="O42" i="1"/>
  <c r="R44" i="1"/>
  <c r="Q21" i="1"/>
  <c r="Q13" i="1"/>
  <c r="Q5" i="1"/>
  <c r="P33" i="1"/>
  <c r="P25" i="1"/>
  <c r="P17" i="1"/>
  <c r="P43" i="1" s="1"/>
  <c r="P9" i="1"/>
  <c r="Q30" i="1"/>
  <c r="P26" i="1"/>
  <c r="M42" i="1"/>
  <c r="O44" i="1"/>
  <c r="P3" i="1"/>
  <c r="P42" i="1" s="1"/>
  <c r="Q10" i="1"/>
  <c r="Q43" i="1" s="1"/>
  <c r="P38" i="1"/>
  <c r="P14" i="1"/>
  <c r="U57" i="10"/>
  <c r="V57" i="10"/>
  <c r="T57" i="10"/>
  <c r="S57" i="10"/>
  <c r="R57" i="10"/>
  <c r="Q57" i="10"/>
  <c r="I14" i="10"/>
  <c r="I52" i="10"/>
  <c r="I49" i="10"/>
  <c r="I50" i="10"/>
  <c r="I48" i="10"/>
  <c r="I38" i="10"/>
  <c r="I36" i="10"/>
  <c r="I37" i="10"/>
  <c r="I39" i="10"/>
  <c r="I40" i="10"/>
  <c r="I41" i="10"/>
  <c r="I42" i="10"/>
  <c r="I43" i="10"/>
  <c r="I44" i="10"/>
  <c r="I45" i="10"/>
  <c r="I46" i="10"/>
  <c r="I35" i="10"/>
  <c r="I20" i="10"/>
  <c r="I21" i="10"/>
  <c r="I22" i="10"/>
  <c r="I23" i="10"/>
  <c r="I24" i="10"/>
  <c r="I25" i="10"/>
  <c r="I26" i="10"/>
  <c r="I27" i="10"/>
  <c r="I28" i="10"/>
  <c r="I29" i="10"/>
  <c r="I30" i="10"/>
  <c r="I31" i="10"/>
  <c r="I32" i="10"/>
  <c r="I33" i="10"/>
  <c r="I19" i="10"/>
  <c r="I17" i="10"/>
  <c r="I7" i="10"/>
  <c r="I8" i="10"/>
  <c r="I9" i="10"/>
  <c r="I10" i="10"/>
  <c r="I11" i="10"/>
  <c r="I12" i="10"/>
  <c r="I13" i="10"/>
  <c r="I15" i="10"/>
  <c r="I6" i="10"/>
  <c r="I4" i="10"/>
  <c r="I3" i="10"/>
  <c r="I53" i="10"/>
  <c r="I51" i="10"/>
  <c r="I47" i="10"/>
  <c r="I16" i="10"/>
  <c r="Q44" i="1" l="1"/>
  <c r="Q42" i="1"/>
  <c r="P44" i="1"/>
  <c r="D58" i="10"/>
  <c r="E58" i="10"/>
  <c r="F58" i="10"/>
  <c r="G58" i="10"/>
  <c r="H58" i="10"/>
  <c r="D57" i="10"/>
  <c r="E57" i="10"/>
  <c r="F57" i="10"/>
  <c r="G57" i="10"/>
  <c r="H57" i="10"/>
  <c r="C57" i="10"/>
  <c r="C58" i="10"/>
  <c r="W55" i="6"/>
  <c r="W56" i="6"/>
  <c r="D59" i="10"/>
  <c r="E59" i="10"/>
  <c r="F59" i="10"/>
  <c r="G59" i="10"/>
  <c r="H59" i="10"/>
  <c r="I59" i="10" s="1"/>
  <c r="C59" i="10"/>
  <c r="I57" i="10" l="1"/>
  <c r="I58" i="10"/>
  <c r="K92" i="10"/>
  <c r="K93" i="10"/>
  <c r="K94" i="10"/>
  <c r="K95" i="10"/>
  <c r="K91" i="10"/>
  <c r="K83" i="10"/>
  <c r="K84" i="10"/>
  <c r="K85" i="10"/>
  <c r="K86" i="10"/>
  <c r="K87" i="10"/>
  <c r="K88" i="10"/>
  <c r="K82" i="10"/>
  <c r="K77" i="10"/>
  <c r="K78" i="10"/>
  <c r="K79" i="10"/>
  <c r="K76" i="10"/>
  <c r="K67" i="10"/>
  <c r="K68" i="10"/>
  <c r="K71" i="10"/>
  <c r="K72" i="10"/>
  <c r="K65" i="10"/>
  <c r="B20" i="1" l="1"/>
  <c r="D20" i="1"/>
  <c r="H52"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3" i="11"/>
  <c r="J2" i="11"/>
  <c r="D33" i="1" l="1"/>
  <c r="D29" i="1"/>
  <c r="D36" i="1"/>
  <c r="D27" i="1"/>
  <c r="D18" i="1"/>
  <c r="D16" i="1"/>
  <c r="D15" i="1"/>
  <c r="D13" i="1"/>
  <c r="D14" i="1"/>
  <c r="D11" i="1"/>
  <c r="D10" i="1"/>
  <c r="D9" i="1"/>
  <c r="D8" i="1"/>
  <c r="D7" i="1"/>
  <c r="D6" i="1"/>
  <c r="D5" i="1"/>
  <c r="G3" i="11" l="1"/>
  <c r="F3" i="11"/>
  <c r="E3" i="11"/>
  <c r="J4" i="11" s="1"/>
  <c r="K73" i="10" l="1"/>
  <c r="K74" i="10"/>
  <c r="V38" i="6" l="1"/>
  <c r="V4"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9" i="6"/>
  <c r="V40" i="6"/>
  <c r="V41" i="6"/>
  <c r="V42" i="6"/>
  <c r="V43" i="6"/>
  <c r="V44" i="6"/>
  <c r="V45" i="6"/>
  <c r="V46" i="6"/>
  <c r="V47" i="6"/>
  <c r="V48" i="6"/>
  <c r="V49" i="6"/>
  <c r="V50" i="6"/>
  <c r="V3" i="6"/>
  <c r="K28" i="6"/>
  <c r="K30" i="6"/>
  <c r="K31" i="6"/>
  <c r="K32" i="6"/>
  <c r="K33" i="6"/>
  <c r="K34" i="6"/>
  <c r="K35" i="6"/>
  <c r="K36" i="6"/>
  <c r="K37" i="6"/>
  <c r="K39" i="6"/>
  <c r="K41" i="6"/>
  <c r="K42" i="6"/>
  <c r="K43" i="6"/>
  <c r="K44" i="6"/>
  <c r="K45" i="6"/>
  <c r="K47" i="6"/>
  <c r="K48" i="6"/>
  <c r="K49" i="6"/>
  <c r="K50" i="6"/>
  <c r="K18" i="6"/>
  <c r="K19" i="6"/>
  <c r="K20" i="6"/>
  <c r="K21" i="6"/>
  <c r="K22" i="6"/>
  <c r="K23" i="6"/>
  <c r="K24" i="6"/>
  <c r="K25" i="6"/>
  <c r="K26" i="6"/>
  <c r="K27" i="6"/>
  <c r="K4" i="6"/>
  <c r="K5" i="6"/>
  <c r="K6" i="6"/>
  <c r="K7" i="6"/>
  <c r="K8" i="6"/>
  <c r="K9" i="6"/>
  <c r="K10" i="6"/>
  <c r="K11" i="6"/>
  <c r="K12" i="6"/>
  <c r="K13" i="6"/>
  <c r="K14" i="6"/>
  <c r="K15" i="6"/>
  <c r="K16" i="6"/>
  <c r="K17" i="6"/>
  <c r="K3" i="6"/>
  <c r="D55" i="6"/>
  <c r="E55" i="6"/>
  <c r="F55" i="6"/>
  <c r="G55" i="6"/>
  <c r="H55" i="6"/>
  <c r="I55" i="6"/>
  <c r="D56" i="6"/>
  <c r="E56" i="6"/>
  <c r="F56" i="6"/>
  <c r="G56" i="6"/>
  <c r="H56" i="6"/>
  <c r="I56" i="6"/>
  <c r="C56" i="6"/>
  <c r="C55" i="6"/>
  <c r="D54" i="6"/>
  <c r="E54" i="6"/>
  <c r="F54" i="6"/>
  <c r="G54" i="6"/>
  <c r="H54" i="6"/>
  <c r="I54" i="6"/>
  <c r="C54" i="6"/>
  <c r="K55" i="6" l="1"/>
  <c r="K54" i="6"/>
  <c r="W54" i="6"/>
  <c r="K56" i="6"/>
  <c r="B25" i="1"/>
  <c r="D25" i="1"/>
  <c r="H56" i="10" l="1"/>
  <c r="G56" i="10"/>
  <c r="F56" i="10"/>
  <c r="E56" i="10"/>
  <c r="D56" i="10"/>
  <c r="C56" i="10"/>
  <c r="H55" i="10"/>
  <c r="I55" i="10" s="1"/>
  <c r="G55" i="10"/>
  <c r="F55" i="10"/>
  <c r="E55" i="10"/>
  <c r="D55" i="10"/>
  <c r="C55" i="10"/>
  <c r="J88" i="9"/>
  <c r="J87" i="9"/>
  <c r="J86" i="9"/>
  <c r="J85" i="9"/>
  <c r="J84" i="9"/>
  <c r="J83" i="9"/>
  <c r="J82" i="9"/>
  <c r="J79" i="9"/>
  <c r="J78" i="9"/>
  <c r="J77" i="9"/>
  <c r="J76" i="9"/>
  <c r="J74" i="9"/>
  <c r="J73" i="9"/>
  <c r="J72" i="9"/>
  <c r="J71" i="9"/>
  <c r="J68" i="9"/>
  <c r="J67" i="9"/>
  <c r="J65" i="9"/>
  <c r="I56" i="10" l="1"/>
  <c r="M59" i="9"/>
  <c r="N59" i="9" s="1"/>
  <c r="M58" i="9"/>
  <c r="N58" i="9" s="1"/>
  <c r="K59" i="9"/>
  <c r="K58" i="9"/>
  <c r="I59" i="9"/>
  <c r="I58" i="9"/>
  <c r="G59" i="9"/>
  <c r="G58" i="9"/>
  <c r="E59" i="9"/>
  <c r="E58" i="9"/>
  <c r="C59" i="9"/>
  <c r="C58" i="9"/>
  <c r="M57" i="9"/>
  <c r="N57" i="9" s="1"/>
  <c r="K57" i="9"/>
  <c r="I57" i="9"/>
  <c r="G57" i="9"/>
  <c r="E57" i="9"/>
  <c r="N56" i="9" s="1"/>
  <c r="C57" i="9"/>
  <c r="M56" i="9"/>
  <c r="M55" i="9"/>
  <c r="K56" i="9"/>
  <c r="K55" i="9"/>
  <c r="I56" i="9"/>
  <c r="I55" i="9"/>
  <c r="G56" i="9"/>
  <c r="G55" i="9"/>
  <c r="E56" i="9"/>
  <c r="N55" i="9" s="1"/>
  <c r="E55" i="9"/>
  <c r="C55" i="9"/>
  <c r="C56" i="9"/>
  <c r="G66" i="6" l="1"/>
  <c r="H66" i="6"/>
  <c r="I66" i="6"/>
  <c r="J66" i="6"/>
  <c r="K66" i="6"/>
  <c r="F66" i="6"/>
  <c r="B72" i="8"/>
  <c r="S72" i="8"/>
  <c r="P72" i="8"/>
  <c r="M72" i="8"/>
  <c r="L72" i="8"/>
  <c r="I72" i="8"/>
  <c r="F72" i="8"/>
  <c r="E72" i="8"/>
  <c r="U72" i="8" l="1"/>
  <c r="U53" i="6"/>
  <c r="T53" i="6"/>
  <c r="S53" i="6"/>
  <c r="R53" i="6"/>
  <c r="Q53" i="6"/>
  <c r="P53" i="6"/>
  <c r="O53" i="6"/>
  <c r="U52" i="6"/>
  <c r="T52" i="6"/>
  <c r="S52" i="6"/>
  <c r="R52" i="6"/>
  <c r="Q52" i="6"/>
  <c r="P52" i="6"/>
  <c r="O52" i="6"/>
  <c r="C57" i="7"/>
  <c r="D57" i="7"/>
  <c r="E57" i="7"/>
  <c r="F57" i="7"/>
  <c r="G57" i="7"/>
  <c r="H57" i="7"/>
  <c r="B57" i="7"/>
  <c r="C56" i="7"/>
  <c r="D56" i="7"/>
  <c r="E56" i="7"/>
  <c r="F56" i="7"/>
  <c r="G56" i="7"/>
  <c r="H56" i="7"/>
  <c r="B56" i="7"/>
  <c r="C55" i="7"/>
  <c r="D55" i="7"/>
  <c r="E55" i="7"/>
  <c r="F55" i="7"/>
  <c r="G55" i="7"/>
  <c r="H55" i="7"/>
  <c r="B55" i="7"/>
  <c r="C54" i="7"/>
  <c r="D54" i="7"/>
  <c r="E54" i="7"/>
  <c r="F54" i="7"/>
  <c r="G54" i="7"/>
  <c r="H54" i="7"/>
  <c r="B54" i="7"/>
  <c r="C53" i="7"/>
  <c r="D53" i="7"/>
  <c r="E53" i="7"/>
  <c r="F53" i="7"/>
  <c r="G53" i="7"/>
  <c r="H53" i="7"/>
  <c r="B53" i="7"/>
  <c r="D53" i="6"/>
  <c r="E53" i="6"/>
  <c r="F53" i="6"/>
  <c r="G53" i="6"/>
  <c r="H53" i="6"/>
  <c r="I53" i="6"/>
  <c r="K53" i="6" s="1"/>
  <c r="C53" i="6"/>
  <c r="D52" i="6"/>
  <c r="E52" i="6"/>
  <c r="F52" i="6"/>
  <c r="G52" i="6"/>
  <c r="H52" i="6"/>
  <c r="I52" i="6"/>
  <c r="C52" i="6"/>
  <c r="L57" i="4"/>
  <c r="M57" i="4"/>
  <c r="N57" i="4"/>
  <c r="O57" i="4"/>
  <c r="K57" i="4"/>
  <c r="L56" i="4"/>
  <c r="M56" i="4"/>
  <c r="N56" i="4"/>
  <c r="O56" i="4"/>
  <c r="K56" i="4"/>
  <c r="M55" i="4"/>
  <c r="N55" i="4"/>
  <c r="O55" i="4"/>
  <c r="L55" i="4"/>
  <c r="K55" i="4"/>
  <c r="O54" i="4"/>
  <c r="N54" i="4"/>
  <c r="M54" i="4"/>
  <c r="L54" i="4"/>
  <c r="K54" i="4"/>
  <c r="P48" i="4"/>
  <c r="P49" i="4"/>
  <c r="P50" i="4"/>
  <c r="P47" i="4"/>
  <c r="P42" i="4"/>
  <c r="P43" i="4"/>
  <c r="P44" i="4"/>
  <c r="P45" i="4"/>
  <c r="P41" i="4"/>
  <c r="P39" i="4"/>
  <c r="P31" i="4"/>
  <c r="P32" i="4"/>
  <c r="P33" i="4"/>
  <c r="P34" i="4"/>
  <c r="P35" i="4"/>
  <c r="P36" i="4"/>
  <c r="P37" i="4"/>
  <c r="P30" i="4"/>
  <c r="P23" i="4"/>
  <c r="P24" i="4"/>
  <c r="P25" i="4"/>
  <c r="P26" i="4"/>
  <c r="P27" i="4"/>
  <c r="P28" i="4"/>
  <c r="P22" i="4"/>
  <c r="P3" i="4"/>
  <c r="P4" i="4"/>
  <c r="P5" i="4"/>
  <c r="P6" i="4"/>
  <c r="P7" i="4"/>
  <c r="P8" i="4"/>
  <c r="P9" i="4"/>
  <c r="P10" i="4"/>
  <c r="P11" i="4"/>
  <c r="P12" i="4"/>
  <c r="P13" i="4"/>
  <c r="P14" i="4"/>
  <c r="P15" i="4"/>
  <c r="P16" i="4"/>
  <c r="P17" i="4"/>
  <c r="P18" i="4"/>
  <c r="P19" i="4"/>
  <c r="P20" i="4"/>
  <c r="P2" i="4"/>
  <c r="K52" i="6" l="1"/>
  <c r="W53" i="6"/>
  <c r="W52" i="6"/>
  <c r="P29" i="4"/>
  <c r="P38" i="4"/>
  <c r="P40" i="4"/>
  <c r="P21" i="4"/>
  <c r="Z3" i="4" l="1"/>
  <c r="Z2" i="4"/>
  <c r="D12" i="1" l="1"/>
  <c r="D38" i="1"/>
  <c r="D37" i="1"/>
  <c r="D35" i="1"/>
  <c r="D34" i="1" l="1"/>
  <c r="D30" i="1"/>
  <c r="D31" i="1"/>
  <c r="D26" i="1"/>
  <c r="D28" i="1"/>
  <c r="D24" i="1"/>
  <c r="D23" i="1"/>
  <c r="D22" i="1"/>
  <c r="D21" i="1"/>
  <c r="D19" i="1"/>
  <c r="D17" i="1"/>
  <c r="D32" i="1"/>
  <c r="D43" i="1"/>
  <c r="D42" i="1"/>
  <c r="D41" i="1"/>
  <c r="E43" i="1" l="1"/>
  <c r="E42" i="1"/>
  <c r="E41" i="1"/>
</calcChain>
</file>

<file path=xl/sharedStrings.xml><?xml version="1.0" encoding="utf-8"?>
<sst xmlns="http://schemas.openxmlformats.org/spreadsheetml/2006/main" count="2370" uniqueCount="555">
  <si>
    <t>BARI</t>
  </si>
  <si>
    <t>CATANIA</t>
  </si>
  <si>
    <t>FIRENZE</t>
  </si>
  <si>
    <t>MILANO BICOCCA</t>
  </si>
  <si>
    <t>-</t>
  </si>
  <si>
    <t>PAVIA</t>
  </si>
  <si>
    <t>PISA</t>
  </si>
  <si>
    <t>MARCHE</t>
  </si>
  <si>
    <t>ROMA 3</t>
  </si>
  <si>
    <t>SIENA</t>
  </si>
  <si>
    <t>TORINO</t>
  </si>
  <si>
    <t>TRENTO</t>
  </si>
  <si>
    <t>VENEZIA</t>
  </si>
  <si>
    <t>VERONA</t>
  </si>
  <si>
    <t>statistiche</t>
  </si>
  <si>
    <t>media</t>
  </si>
  <si>
    <t>max</t>
  </si>
  <si>
    <t>L-18</t>
  </si>
  <si>
    <t>L-33</t>
  </si>
  <si>
    <t>Politecnica delle Marche</t>
  </si>
  <si>
    <t>Basilicata</t>
  </si>
  <si>
    <t>Bergamo</t>
  </si>
  <si>
    <t>Bologna</t>
  </si>
  <si>
    <t>Brescia</t>
  </si>
  <si>
    <t>Cagliari</t>
  </si>
  <si>
    <t>Catania</t>
  </si>
  <si>
    <t>Ferrara</t>
  </si>
  <si>
    <t>Firenze</t>
  </si>
  <si>
    <t>Foggia</t>
  </si>
  <si>
    <t>Genova</t>
  </si>
  <si>
    <t>Insubria Varese-Como</t>
  </si>
  <si>
    <t>Salento</t>
  </si>
  <si>
    <t>Macerata</t>
  </si>
  <si>
    <t>Messina</t>
  </si>
  <si>
    <t>Cattolica del Sacro Cuore</t>
  </si>
  <si>
    <t>Modena e Reggio Emilia</t>
  </si>
  <si>
    <t>Molise</t>
  </si>
  <si>
    <t>Suor Orsola Benincasa</t>
  </si>
  <si>
    <t>Padova</t>
  </si>
  <si>
    <t>Palermo</t>
  </si>
  <si>
    <t>Parma</t>
  </si>
  <si>
    <t>Pavia</t>
  </si>
  <si>
    <t>Perugia</t>
  </si>
  <si>
    <t>Piemonte Orientale</t>
  </si>
  <si>
    <t>Pisa</t>
  </si>
  <si>
    <t>Roma "Tor Vergata"</t>
  </si>
  <si>
    <t>Roma Tre</t>
  </si>
  <si>
    <t>Salerno</t>
  </si>
  <si>
    <t>Sassari</t>
  </si>
  <si>
    <t>Siena</t>
  </si>
  <si>
    <t>Teramo</t>
  </si>
  <si>
    <t>Torino</t>
  </si>
  <si>
    <t>Trento</t>
  </si>
  <si>
    <t>Trieste</t>
  </si>
  <si>
    <t>Tuscia</t>
  </si>
  <si>
    <t>Udine</t>
  </si>
  <si>
    <t>Urbino "Carlo Bo"</t>
  </si>
  <si>
    <t>Valle d'Aosta</t>
  </si>
  <si>
    <t>Verona</t>
  </si>
  <si>
    <t>Telematica Guglielmo Marconi</t>
  </si>
  <si>
    <t>Telematica Pegaso</t>
  </si>
  <si>
    <t>Telematica Cusano</t>
  </si>
  <si>
    <t>Telematica Universitas Mercatorum</t>
  </si>
  <si>
    <t>Ateneo</t>
  </si>
  <si>
    <t>Immatricolati</t>
  </si>
  <si>
    <t>% tot immatricolati   in L-33</t>
  </si>
  <si>
    <t>SI</t>
  </si>
  <si>
    <t>TRIESTE</t>
  </si>
  <si>
    <t>NO</t>
  </si>
  <si>
    <t xml:space="preserve">NO </t>
  </si>
  <si>
    <t>Classe</t>
  </si>
  <si>
    <t>L-18 - Scienze dell'economia e della gestione aziendale</t>
  </si>
  <si>
    <t>Universit‡ degli Studi di CATANIA</t>
  </si>
  <si>
    <t>Libera Univ. Inter.le Studi Sociali Guido Carli" LUISS-ROMA"</t>
  </si>
  <si>
    <t>AA 2011/2012</t>
  </si>
  <si>
    <t>AA 2013/2014</t>
  </si>
  <si>
    <t>Universit‡ degli Studi Suor Orsola Benincasa</t>
  </si>
  <si>
    <t>AA 2015/2016</t>
  </si>
  <si>
    <t>AA 2017/2018</t>
  </si>
  <si>
    <t>LINK CAMPUS</t>
  </si>
  <si>
    <t>Università degli studi di Milano</t>
  </si>
  <si>
    <t>TOTALE</t>
  </si>
  <si>
    <t>L-33 - Scienze economiche</t>
  </si>
  <si>
    <t>Universit‡ degli Studi Mediterranea" di REGGIO CALABRIA"</t>
  </si>
  <si>
    <t>AA 2009/2010</t>
  </si>
  <si>
    <t>AA 2011/12</t>
  </si>
  <si>
    <t>AA 2013/14</t>
  </si>
  <si>
    <t>AA 2015/16</t>
  </si>
  <si>
    <t>AA 2017/18</t>
  </si>
  <si>
    <t>totali</t>
  </si>
  <si>
    <t>Università degli Studi di BARI Aldo Moro""</t>
  </si>
  <si>
    <t>Università degli Studi di BERGAMO</t>
  </si>
  <si>
    <t>Libera Università di BOLZANO</t>
  </si>
  <si>
    <t>AA 2009/10</t>
  </si>
  <si>
    <t>Tot immatricolati unversità selezionate nel campione per osservare i crediti tot in materie SECS-P01-06</t>
  </si>
  <si>
    <t>tasso di variazione dal primo anno osservato all'ultimo</t>
  </si>
  <si>
    <t>Università Politecnica delle MARCHE</t>
  </si>
  <si>
    <t>Università Mediterranea Jean Monnet""</t>
  </si>
  <si>
    <t>Università degli Studi della BASILICATA</t>
  </si>
  <si>
    <t>Universit degli Studi di BOLOGNA</t>
  </si>
  <si>
    <t>Universit degli Studi di BRESCIA</t>
  </si>
  <si>
    <t>Universit degli Studi di CAGLIARI</t>
  </si>
  <si>
    <t>Università della CALABRIA</t>
  </si>
  <si>
    <t>Università degli Studi di CASSINO e del LAZIO MERIDIONALE</t>
  </si>
  <si>
    <t>Università Carlo Cattaneo" - LIUC"</t>
  </si>
  <si>
    <t>Università degli Studi di CATANIA</t>
  </si>
  <si>
    <t>Università degli Studi Magna Graecia" di CATANZARO"</t>
  </si>
  <si>
    <t>Università degli Studi G. d'Annunzio" CHIETI-PESCARA"</t>
  </si>
  <si>
    <t>Libera Università della Sicilia Centrale KORE" sede Enna"</t>
  </si>
  <si>
    <t>Università degli Studi di FERRARA</t>
  </si>
  <si>
    <t>Università degli Studi di FIRENZE</t>
  </si>
  <si>
    <t>Università degli Studi di FOGGIA</t>
  </si>
  <si>
    <t>Università degli Studi di GENOVA</t>
  </si>
  <si>
    <t>Università degli Studi de L'AQUILA</t>
  </si>
  <si>
    <t>Università del SALENTO</t>
  </si>
  <si>
    <t>Università degli Studi di MACERATA</t>
  </si>
  <si>
    <t>Università degli Studi di MESSINA</t>
  </si>
  <si>
    <t>Università degli Studi di MILANO - BICOCCA</t>
  </si>
  <si>
    <t>Università Cattolica del Sacro Cuore</t>
  </si>
  <si>
    <t>Università Commerciale Luigi Bocconi" MILANO"</t>
  </si>
  <si>
    <t>Università degli Studi di MODENA e REGGIO EMILIA</t>
  </si>
  <si>
    <t>Università degli Studi del MOLISE</t>
  </si>
  <si>
    <t>Università degli Studi di NAPOLI Federico II""</t>
  </si>
  <si>
    <t>Università degli Studi della Campania Luigi Vanvitelli""</t>
  </si>
  <si>
    <t>Università degli Studi di NAPOLI Parthenope""</t>
  </si>
  <si>
    <t>Università degli Studi di PADOVA</t>
  </si>
  <si>
    <t>Università degli Studi di PALERMO</t>
  </si>
  <si>
    <t>Università degli Studi di PARMA</t>
  </si>
  <si>
    <t>Università degli Studi di PAVIA</t>
  </si>
  <si>
    <t>Università degli Studi di PERUGIA</t>
  </si>
  <si>
    <t>Università degli Studi del PIEMONTE ORIENTALE Amedeo Avogadro"-Vercelli"</t>
  </si>
  <si>
    <t>Università degli Studi di PISA</t>
  </si>
  <si>
    <t>Università degli Studi di ROMA La Sapienza""</t>
  </si>
  <si>
    <t>Università degli Studi di ROMA Tor Vergata""</t>
  </si>
  <si>
    <t>Università degli Studi ROMA TRE</t>
  </si>
  <si>
    <t>Università non statale Europea di Roma</t>
  </si>
  <si>
    <t xml:space="preserve">Università degli Studi Internazionali di ROMA (UNINT) </t>
  </si>
  <si>
    <t>Libera Università degli Studi Maria SS.Assunta" Roma"</t>
  </si>
  <si>
    <t>Università degli Studi di SALERNO</t>
  </si>
  <si>
    <t>Università degli Studi del SANNIO di BENEVENTO</t>
  </si>
  <si>
    <t>Università degli Studi di SASSARI</t>
  </si>
  <si>
    <t>Università degli Studi di SIENA</t>
  </si>
  <si>
    <t>Università degli Studi di TERAMO</t>
  </si>
  <si>
    <t>Università degli Studi di TORINO</t>
  </si>
  <si>
    <t>Università degli Studi di TRENTO</t>
  </si>
  <si>
    <t>Università degli Studi della TUSCIA</t>
  </si>
  <si>
    <t>Università degli Studi di UDINE</t>
  </si>
  <si>
    <t>Università degli Studi di URBINO Carlo BO""</t>
  </si>
  <si>
    <t>Università della VALLE D'AOSTA</t>
  </si>
  <si>
    <t>Università C‡ Foscari" di VENEZIA"</t>
  </si>
  <si>
    <t>Università degli Studi di VERONA</t>
  </si>
  <si>
    <t>Università Telematica Internazionale UNINETTUNO</t>
  </si>
  <si>
    <t xml:space="preserve">Università Telematica UNITELMA SAPIENZA </t>
  </si>
  <si>
    <t>Università Telematica non statale Leonardo da Vinci""</t>
  </si>
  <si>
    <t>Università Telematica NiccolÚ Cusano</t>
  </si>
  <si>
    <t>Università degli Studi di MILANO</t>
  </si>
  <si>
    <t>Università degli Studi di TRIESTE</t>
  </si>
  <si>
    <t>Università Cà Foscari" di VENEZIA"</t>
  </si>
  <si>
    <t>Università Telematica e-Campus</t>
  </si>
  <si>
    <t>Universit degli Studi della Campania Luigi Vanvitelli""</t>
  </si>
  <si>
    <t>Università degli Studi INSUBRIA Varese-Como</t>
  </si>
  <si>
    <t>Variaz 2011/18 per ateneo</t>
  </si>
  <si>
    <t>medie iscritti</t>
  </si>
  <si>
    <t>classe</t>
  </si>
  <si>
    <t>nord</t>
  </si>
  <si>
    <t>centro</t>
  </si>
  <si>
    <t>sud e isole</t>
  </si>
  <si>
    <t>ATENEO</t>
  </si>
  <si>
    <t>Cassino e Lazio Meridionale</t>
  </si>
  <si>
    <t>Milano Bicocca</t>
  </si>
  <si>
    <t>Milano Statale</t>
  </si>
  <si>
    <t>Milano Bocconi</t>
  </si>
  <si>
    <t>Bari "Aldo Moro"</t>
  </si>
  <si>
    <t xml:space="preserve">Bergamo </t>
  </si>
  <si>
    <t>Calabria</t>
  </si>
  <si>
    <t>Napoli "Federico II"</t>
  </si>
  <si>
    <t>Campania "Luigi Vanvitelli"</t>
  </si>
  <si>
    <t>Napoli "Parthenope"</t>
  </si>
  <si>
    <t>Roma "La Sapienza"</t>
  </si>
  <si>
    <t>Luiss Guido Carli</t>
  </si>
  <si>
    <t>Venezia</t>
  </si>
  <si>
    <t>Bolzano</t>
  </si>
  <si>
    <t>Chieti-Pescara "G. D'Annunzio"</t>
  </si>
  <si>
    <t>Telematica e-Campus</t>
  </si>
  <si>
    <t>Mediterranea Reggio Calabria</t>
  </si>
  <si>
    <t>Roma Maria SS.Assunta</t>
  </si>
  <si>
    <t>AA 2012/13</t>
  </si>
  <si>
    <t>AA 2016/17</t>
  </si>
  <si>
    <t>AA 2014/15</t>
  </si>
  <si>
    <t>MEDIA</t>
  </si>
  <si>
    <t>MEDIA AREA NORD</t>
  </si>
  <si>
    <t>MEDIA AREA CENTRO</t>
  </si>
  <si>
    <t>ISCRITTI</t>
  </si>
  <si>
    <t>MEDIA AREA SUD</t>
  </si>
  <si>
    <t>PALERMO</t>
  </si>
  <si>
    <t/>
  </si>
  <si>
    <t>LINK CAMPUS University</t>
  </si>
  <si>
    <t>AA 2010/11</t>
  </si>
  <si>
    <t>AA2016/17</t>
  </si>
  <si>
    <t>Immatricolati Classe L-18 Scienze dell'economia e della gestione aziendale</t>
  </si>
  <si>
    <t>CALABRIA</t>
  </si>
  <si>
    <t>TOTALI</t>
  </si>
  <si>
    <t>VARIAZIONE TOTALI</t>
  </si>
  <si>
    <t>CLASSE LAUREA</t>
  </si>
  <si>
    <t>PUGLIA</t>
  </si>
  <si>
    <t>LOMBARDIA</t>
  </si>
  <si>
    <t>EMILIA ROMAGNA</t>
  </si>
  <si>
    <t>TRENTINO ALTO ADIGE</t>
  </si>
  <si>
    <t>SARDEGNA</t>
  </si>
  <si>
    <t>LAZIO</t>
  </si>
  <si>
    <t>SICILIA</t>
  </si>
  <si>
    <t>ABRUZZO</t>
  </si>
  <si>
    <t>TOSCANA</t>
  </si>
  <si>
    <t>LIGURIA</t>
  </si>
  <si>
    <t>LAZIO/LOMBARDIA</t>
  </si>
  <si>
    <t>CAMPANIA</t>
  </si>
  <si>
    <t>VENETO</t>
  </si>
  <si>
    <t>PIEMONTE</t>
  </si>
  <si>
    <t>FRIULI</t>
  </si>
  <si>
    <t>AA2014/15</t>
  </si>
  <si>
    <t>Europea Roma</t>
  </si>
  <si>
    <t>"Mediterranea" Reggio Calabria</t>
  </si>
  <si>
    <t>Totale</t>
  </si>
  <si>
    <t>LOMBARDIA/LAZIO</t>
  </si>
  <si>
    <t>basilicata</t>
  </si>
  <si>
    <t>VALLE D'AOSTA</t>
  </si>
  <si>
    <t>variaz 2012/18</t>
  </si>
  <si>
    <t>LAUREATI LM-56</t>
  </si>
  <si>
    <t>regione</t>
  </si>
  <si>
    <t>VARIAZ 2012/18</t>
  </si>
  <si>
    <t>Numero dei laureati</t>
  </si>
  <si>
    <t>Genere (%)</t>
  </si>
  <si>
    <t>Uomini</t>
  </si>
  <si>
    <t>Donne</t>
  </si>
  <si>
    <t>Titolo di studio dei genitori (%)</t>
  </si>
  <si>
    <t>Entrambi con laurea</t>
  </si>
  <si>
    <t>Uno solo con laurea</t>
  </si>
  <si>
    <t>Scuola media superiore</t>
  </si>
  <si>
    <t>Titoli inferiori o nessun titolo</t>
  </si>
  <si>
    <t>Borghesia</t>
  </si>
  <si>
    <t>Classe media impiegatizia</t>
  </si>
  <si>
    <t>Piccola borghesia</t>
  </si>
  <si>
    <t>Classe operaia</t>
  </si>
  <si>
    <t>Nella stessa provincia della sede degli studi universitari</t>
  </si>
  <si>
    <t>In una provincia limitrofa</t>
  </si>
  <si>
    <t>Al Sud, ma si sono laureati al Centro-Nord</t>
  </si>
  <si>
    <t>Al Centro, ma si sono laureati al Nord o al Sud</t>
  </si>
  <si>
    <t>Al Nord, ma si sono laureati al Centro-Sud</t>
  </si>
  <si>
    <t>All'estero</t>
  </si>
  <si>
    <t>ANNO 2016</t>
  </si>
  <si>
    <t>ANNO</t>
  </si>
  <si>
    <t>Scienze dell'economia (LM-56, 64/S)</t>
  </si>
  <si>
    <t>ORIGINE SOCIALE</t>
  </si>
  <si>
    <t>STUDI SECONDARI SUPERIORI</t>
  </si>
  <si>
    <t>Hanno conseguito il diploma (%)</t>
  </si>
  <si>
    <t>Provincia non limitrofa, ma stessa ripartizione geografica</t>
  </si>
  <si>
    <t>VARIAZ 2010-17</t>
  </si>
  <si>
    <t>Classe sociale (%)</t>
  </si>
  <si>
    <t>In calo dal 2014</t>
  </si>
  <si>
    <t>Immatricolati per a.a.</t>
  </si>
  <si>
    <t>bari "Aldo Moro"</t>
  </si>
  <si>
    <t>L'AQUILA</t>
  </si>
  <si>
    <t>Milano -Bicocca</t>
  </si>
  <si>
    <t>Cattolica del sacro cuore</t>
  </si>
  <si>
    <t xml:space="preserve">Milano  "Luigi Bocconi" </t>
  </si>
  <si>
    <t>Modena e Reggio emilia</t>
  </si>
  <si>
    <t xml:space="preserve"> NAPOLI "Federico II"</t>
  </si>
  <si>
    <t xml:space="preserve"> Campania "Luigi Vanvitelli"</t>
  </si>
  <si>
    <t>NAPOLI "Parthenope"</t>
  </si>
  <si>
    <t xml:space="preserve"> PADOVA</t>
  </si>
  <si>
    <t xml:space="preserve"> PALERMO</t>
  </si>
  <si>
    <t>PIEMONTE ORIENTALE "Amedeo Avogadro"-Vercelli</t>
  </si>
  <si>
    <t>ROMA "La Sapienza"</t>
  </si>
  <si>
    <t>ROMA "Tor Vergata"</t>
  </si>
  <si>
    <t xml:space="preserve"> ROMA TRE</t>
  </si>
  <si>
    <t xml:space="preserve"> "Guido Carli" LUISS-ROMA</t>
  </si>
  <si>
    <t>SANNIO di BENEVENTO</t>
  </si>
  <si>
    <t>SASSARI</t>
  </si>
  <si>
    <t xml:space="preserve"> URBINO "Carlo BO"</t>
  </si>
  <si>
    <t>"Carlo Cattaneo" - LIUC</t>
  </si>
  <si>
    <t>"Magna Graecia" di CATANZARO</t>
  </si>
  <si>
    <t xml:space="preserve"> "G. d'Annunzio" CHIETI-PESCARA</t>
  </si>
  <si>
    <t>Sicilia Centrale "KORE" sede Enna</t>
  </si>
  <si>
    <t>Europea non statale di Roma</t>
  </si>
  <si>
    <t xml:space="preserve">Studi Internazionali di ROMA (UNINT) </t>
  </si>
  <si>
    <t xml:space="preserve"> "Maria SS.Assunta" Roma</t>
  </si>
  <si>
    <t xml:space="preserve"> VALLE D'AOSTA</t>
  </si>
  <si>
    <t>Telematica Internazionale UNINETTUNO</t>
  </si>
  <si>
    <t xml:space="preserve">Telematica UNITELMA SAPIENZA </t>
  </si>
  <si>
    <t>Telematica non statale "Leonardo da Vinci"</t>
  </si>
  <si>
    <t>Telematica Niccolò Cusano</t>
  </si>
  <si>
    <t>Venezia "Cà Foscari"</t>
  </si>
  <si>
    <t>Politecnica Marche</t>
  </si>
  <si>
    <t>TOTALE Immatricolati PER ANNO ACCADEMICO E CLASSE DI LAUREA - La scala sinistra mostra i livelli di iscritti per anno e per classe di laurea: barre blu per gli iscritti L-18, barre arancioni per gli iscritti L-33.  La scala destra invece mostra i tassi di crescita da un'anno accademico all'altro: lina blu     L-18,  linea arancione L-33.</t>
  </si>
  <si>
    <t>2011/12</t>
  </si>
  <si>
    <t>2012/13</t>
  </si>
  <si>
    <t>2013/14</t>
  </si>
  <si>
    <t>2014/15</t>
  </si>
  <si>
    <t>2015/16</t>
  </si>
  <si>
    <t>2016/17</t>
  </si>
  <si>
    <t>2017/18</t>
  </si>
  <si>
    <t>variaz 2011/18</t>
  </si>
  <si>
    <t>VARIAZ 2011-2018</t>
  </si>
  <si>
    <t>ha soppresso il corso</t>
  </si>
  <si>
    <t>requisiti min</t>
  </si>
  <si>
    <t>TOT AREA NORD</t>
  </si>
  <si>
    <t>TOT AREA CENTRO</t>
  </si>
  <si>
    <t>TOT AREA SUD E ISOLE</t>
  </si>
  <si>
    <t>AREA NORD, tot</t>
  </si>
  <si>
    <t>AREA CENTRO, tot</t>
  </si>
  <si>
    <t xml:space="preserve">AREA SUD, tot </t>
  </si>
  <si>
    <t xml:space="preserve">Studi Internazionali di    Roma (UNINT) </t>
  </si>
  <si>
    <t>Mediterranea "J. Monnet"</t>
  </si>
  <si>
    <t>Regione</t>
  </si>
  <si>
    <t>Telematica G. Marconi</t>
  </si>
  <si>
    <t>Dove hanno conseguito il diploma (%):</t>
  </si>
  <si>
    <t>variaz 2012/16 (anni accademici)</t>
  </si>
  <si>
    <t>Università degli Studi di BARI "Aldo Moro"</t>
  </si>
  <si>
    <t>Politecnico di BARI</t>
  </si>
  <si>
    <t>Università Mediterranea "Jean Monnet"</t>
  </si>
  <si>
    <t>Università degli Studi di BOLOGNA</t>
  </si>
  <si>
    <t>Università degli Studi di BRESCIA</t>
  </si>
  <si>
    <t>Università degli Studi di CAGLIARI</t>
  </si>
  <si>
    <t>Università degli Studi di CAMERINO</t>
  </si>
  <si>
    <t>Università "Carlo Cattaneo" - LIUC</t>
  </si>
  <si>
    <t>Università degli Studi "Magna Graecia" di CATANZARO</t>
  </si>
  <si>
    <t>Università degli Studi "G. d'Annunzio" CHIETI-PESCARA</t>
  </si>
  <si>
    <t>Università non statale di Scienze Gastronomiche</t>
  </si>
  <si>
    <t>Libera Università della Sicilia Centrale "KORE" sede Enna</t>
  </si>
  <si>
    <t>Politecnico di MILANO</t>
  </si>
  <si>
    <t>Università Commerciale "Luigi Bocconi" MILANO</t>
  </si>
  <si>
    <t>Libera Università di lingue e comunicazione IULM-MI</t>
  </si>
  <si>
    <t>Libera Università "Vita Salute S.Raffaele" MILANO</t>
  </si>
  <si>
    <t>Università degli Studi di NAPOLI "Federico II"</t>
  </si>
  <si>
    <t>Università degli Studi della Campania "Luigi Vanvitelli"</t>
  </si>
  <si>
    <t>Università degli Studi di NAPOLI "Parthenope"</t>
  </si>
  <si>
    <t>Università degli Studi di NAPOLI "L'Orientale"</t>
  </si>
  <si>
    <t>Università degli Studi Suor Orsola Benincasa</t>
  </si>
  <si>
    <t>Università per Stranieri di PERUGIA</t>
  </si>
  <si>
    <t>Università degli Studi "Mediterranea" di REGGIO CALABRIA</t>
  </si>
  <si>
    <t>Università per Stranieri "Dante Alighieri" di REGGIO CALABRIA</t>
  </si>
  <si>
    <t>Università degli Studi di ROMA "La Sapienza"</t>
  </si>
  <si>
    <t>Università degli Studi di ROMA "Tor Vergata"</t>
  </si>
  <si>
    <t>Universita' degli Studi di Roma "Foro Italico"</t>
  </si>
  <si>
    <t>Libera Univ. Inter.le Studi Sociali "Guido Carli" LUISS-ROMA</t>
  </si>
  <si>
    <t>Libera Università degli Studi "Maria SS.Assunta" Roma</t>
  </si>
  <si>
    <t>Università "Campus Bio-Medico" ROMA</t>
  </si>
  <si>
    <t>Università per Stranieri di SIENA</t>
  </si>
  <si>
    <t>Politecnico di TORINO</t>
  </si>
  <si>
    <t>Università degli Studi di URBINO "Carlo BO"</t>
  </si>
  <si>
    <t>Università "Cà Foscari" di VENEZIA</t>
  </si>
  <si>
    <t>Università IUAV di VENEZIA</t>
  </si>
  <si>
    <t>HUMANITAS University</t>
  </si>
  <si>
    <t>Università Telematica  "ITALIAN UNIVERSITY LINE"</t>
  </si>
  <si>
    <t>Università Telematica Guglielmo Marconi</t>
  </si>
  <si>
    <t>Università Telematica non statale "Leonardo da Vinci"</t>
  </si>
  <si>
    <t>Università Telematica Giustino Fortunato</t>
  </si>
  <si>
    <t>Università Telematica Pegaso</t>
  </si>
  <si>
    <t>Università Telematica Niccolò Cusano</t>
  </si>
  <si>
    <t>Università Telematica San Raffaele Roma</t>
  </si>
  <si>
    <t>Università degli Studi del Piemonte Orientale - Vercelli</t>
  </si>
  <si>
    <t>Dati Studenti Iscritti negli atenei italiani nell'anno accademico 2017/2018</t>
  </si>
  <si>
    <t xml:space="preserve">Iscritti </t>
  </si>
  <si>
    <t>Femmine</t>
  </si>
  <si>
    <t>Maschi</t>
  </si>
  <si>
    <t>Totale Iscritti</t>
  </si>
  <si>
    <t>Università degli Studi "Mediterranea" di Reggio Calabria</t>
  </si>
  <si>
    <t>Libera Univ. Studi Sociali "Guido Carli" LUISS-Roma</t>
  </si>
  <si>
    <t>Università degli Studi "G. d'Annunzio" Chieti-Pescara</t>
  </si>
  <si>
    <t>Università degli Studi di CASSINO e del Lazio Meridion.</t>
  </si>
  <si>
    <t>Iscritti al CDL classe L-33 anno accademico 2017/2018</t>
  </si>
  <si>
    <t>Storia Economica obbligatoria (L-33)</t>
  </si>
  <si>
    <t>Storia dell'analisi economica obbligatoria (L-33)</t>
  </si>
  <si>
    <t xml:space="preserve">L-18 * </t>
  </si>
  <si>
    <t>L-33  *</t>
  </si>
  <si>
    <t xml:space="preserve">* il dato si riferisce ad un corso di laurea. Qualora l'ateneo ne offra più di uno è stato selezionato il corso dal curriculum più generale di indirizzo economico (L-33)  aziendale (L-18) </t>
  </si>
  <si>
    <t>BERGAMO</t>
  </si>
  <si>
    <t xml:space="preserve">BOLOGNA </t>
  </si>
  <si>
    <t>Economia e Commercio</t>
  </si>
  <si>
    <t xml:space="preserve">Economia </t>
  </si>
  <si>
    <t>BOLZANO</t>
  </si>
  <si>
    <t>BRESCIA</t>
  </si>
  <si>
    <t>CAGLIARI</t>
  </si>
  <si>
    <t>Economic sciences</t>
  </si>
  <si>
    <t>Economia</t>
  </si>
  <si>
    <t>Economia e Finanza</t>
  </si>
  <si>
    <t>CASSINO E LAZIO MERIDIONALE</t>
  </si>
  <si>
    <t>Economia e commercio</t>
  </si>
  <si>
    <t>FERRARA</t>
  </si>
  <si>
    <t>Scienze economiche</t>
  </si>
  <si>
    <t>FOGGIA</t>
  </si>
  <si>
    <t>Analisi Economica</t>
  </si>
  <si>
    <t>GENOVA</t>
  </si>
  <si>
    <t>Economia e management</t>
  </si>
  <si>
    <t>MESSINA</t>
  </si>
  <si>
    <t>Economia, banca e finanza</t>
  </si>
  <si>
    <t>Economia Politica</t>
  </si>
  <si>
    <t>Economia e statisitica</t>
  </si>
  <si>
    <t>SI (a scelta fra uno dei due)</t>
  </si>
  <si>
    <t xml:space="preserve">SI </t>
  </si>
  <si>
    <t>Economics</t>
  </si>
  <si>
    <t>MILANO STATALE</t>
  </si>
  <si>
    <t>Titolo CDL     L-33   selezionato</t>
  </si>
  <si>
    <t>Quantità di crediti OBBLIGATORI in materie del gruppo SECS-P01/6 +P12 (Escluse materie a scelta dello studente qualora non fossero interamente del gruppo SECS-P01/6).  Anno Accademico 2018/19</t>
  </si>
  <si>
    <t>Totale atenei e offerte formative per classe di laurea dal 2013 al 2020</t>
  </si>
  <si>
    <t xml:space="preserve"> Anno Accademico </t>
  </si>
  <si>
    <t xml:space="preserve">CDL L-33 </t>
  </si>
  <si>
    <t>∆ corsi aa. precedente</t>
  </si>
  <si>
    <t xml:space="preserve">CDL L-18 </t>
  </si>
  <si>
    <t xml:space="preserve">CDLM  LM-56 </t>
  </si>
  <si>
    <t xml:space="preserve">AA 2013-14 </t>
  </si>
  <si>
    <t xml:space="preserve">46 UNIV </t>
  </si>
  <si>
    <t>--</t>
  </si>
  <si>
    <t xml:space="preserve">67 UNIV  111 CORSI </t>
  </si>
  <si>
    <t xml:space="preserve">46 UNIV  </t>
  </si>
  <si>
    <t xml:space="preserve">58 CORSI </t>
  </si>
  <si>
    <t xml:space="preserve">65 CORSI </t>
  </si>
  <si>
    <t>AA 2014-15</t>
  </si>
  <si>
    <t xml:space="preserve">45 UNIV </t>
  </si>
  <si>
    <t>66 UNIV  109 CORSI</t>
  </si>
  <si>
    <t xml:space="preserve">48 UNIV  </t>
  </si>
  <si>
    <t>56 CORSI</t>
  </si>
  <si>
    <t>69 CORSI</t>
  </si>
  <si>
    <t xml:space="preserve">AA 2015-16 </t>
  </si>
  <si>
    <t xml:space="preserve">67 UNIV  113 CORSI </t>
  </si>
  <si>
    <t xml:space="preserve">50 UNIV  </t>
  </si>
  <si>
    <t xml:space="preserve">57 CORSI </t>
  </si>
  <si>
    <t xml:space="preserve">72 CORSI </t>
  </si>
  <si>
    <t>AA 2016-17</t>
  </si>
  <si>
    <t xml:space="preserve">46 INIV </t>
  </si>
  <si>
    <t>68 UNIV  115 CORSI</t>
  </si>
  <si>
    <t xml:space="preserve">50 UNIV </t>
  </si>
  <si>
    <t>71 CORSI</t>
  </si>
  <si>
    <t>AA 2017-18</t>
  </si>
  <si>
    <t xml:space="preserve">45 UNIV  </t>
  </si>
  <si>
    <t xml:space="preserve">55 CORSI </t>
  </si>
  <si>
    <t xml:space="preserve">AA 2018-19 </t>
  </si>
  <si>
    <t xml:space="preserve">69 UNIV  119 CORSI </t>
  </si>
  <si>
    <t xml:space="preserve">51 UNIV </t>
  </si>
  <si>
    <t xml:space="preserve">73 CORSI </t>
  </si>
  <si>
    <t>AA 2019-20</t>
  </si>
  <si>
    <t>68 UNIV  120 CORSI</t>
  </si>
  <si>
    <t>55 CORSI</t>
  </si>
  <si>
    <t>74 CORSI</t>
  </si>
  <si>
    <t>Gender gap: F%</t>
  </si>
  <si>
    <t>media presenza femmine</t>
  </si>
  <si>
    <t>CHIETI - PESCARA</t>
  </si>
  <si>
    <t>MILANO CATTOLICA</t>
  </si>
  <si>
    <t>NAPOLI FEDERICO II</t>
  </si>
  <si>
    <t>ROMA TOR VERGATA</t>
  </si>
  <si>
    <t>ROMA SAPIENZA</t>
  </si>
  <si>
    <t>MODENA E REGGIO EMILIA</t>
  </si>
  <si>
    <t>Università di:</t>
  </si>
  <si>
    <t xml:space="preserve">VARESE INSUBRIA </t>
  </si>
  <si>
    <t>ROMA LUISS GUIDO CARLI</t>
  </si>
  <si>
    <t xml:space="preserve">LIBRI DI TESTO ADOTTATI Ateneo </t>
  </si>
  <si>
    <t xml:space="preserve">Microeconomia / Economia Politica I </t>
  </si>
  <si>
    <t xml:space="preserve">Macroeconomia / Economia Politica II / Politica Economica </t>
  </si>
  <si>
    <t>R. Frank &amp; Edward Cartwright, Microeconomia</t>
  </si>
  <si>
    <t>Bradford De Long, Macroeconomia, Mc Graw Hill</t>
  </si>
  <si>
    <t>BOLOGNA</t>
  </si>
  <si>
    <t>Varian, Hal R., Intermediate Microeconomia</t>
  </si>
  <si>
    <t>Robert S. PINDYCK - Daniel L. RUBINFELD</t>
  </si>
  <si>
    <t>Abel, A.B., Bernanke, B.S., Croushore, D. Bottazzi. L. MACROECONOMIA</t>
  </si>
  <si>
    <t>CHIETI</t>
  </si>
  <si>
    <t>Mankiw &amp; Taylor</t>
  </si>
  <si>
    <t>Besanko-Braeutigam, Microeconomia</t>
  </si>
  <si>
    <t>Delli Gatti, Gallegati, Gallegati. Macroeconomia. Fatti, teorie, politiche.</t>
  </si>
  <si>
    <t>VARESE INSUBRIA</t>
  </si>
  <si>
    <t>B.D. Bernheim e M.D. Whinston</t>
  </si>
  <si>
    <t>Bertocco G., Kalajzić A., Mourad A. G.: Appunti di Macro</t>
  </si>
  <si>
    <t>M.L. KATZ &amp; H.S. ROSEN</t>
  </si>
  <si>
    <t>Mankiw &amp; Taylor + Blanchard &amp; Giavazzi</t>
  </si>
  <si>
    <t>B. Douglas Bernheim, Michael D. Whinston</t>
  </si>
  <si>
    <t>Blanchard, Amighni, Giavazzi,</t>
  </si>
  <si>
    <t>MODENA</t>
  </si>
  <si>
    <t>Boitani, A., Macroeconomia, Il Mulino + Blanchard &amp; Giavazzi</t>
  </si>
  <si>
    <t>Pier Mario Pacini (2012) Introduzione alla teoria del comportamento del consumatore</t>
  </si>
  <si>
    <t>R. DORNBUSCH, S. FISCHER, R. STARTZ, Macroeconomia</t>
  </si>
  <si>
    <t>M. Burda e C. Wyplosz, Macroeconomia. Un'analisi europea, Egea.</t>
  </si>
  <si>
    <t>Appunti R Ciccone + R. Frank &amp; Edward Cartwright, Microeconomia</t>
  </si>
  <si>
    <t>C. De Vincenti, MACROECONOMIA + J.R. Hicks, “Il processo prod..” + R. Dornbusch, S. Fischer, R. Startz, G. Canullo, P. Pettenati, Macroeconomia</t>
  </si>
  <si>
    <t>Economia Politica. Saltari, De Vincenti, Tilli</t>
  </si>
  <si>
    <t>ACOCELLA N., Politica economica e strategie aziendali.</t>
  </si>
  <si>
    <t>MILANO BOCCONI</t>
  </si>
  <si>
    <t>MARCHE POLITECNICA</t>
  </si>
  <si>
    <t>NAPOLI F. II</t>
  </si>
  <si>
    <t>B.D. Bernheim e M.D. Whinston, Mocroeconomics.</t>
  </si>
  <si>
    <t>Varian, Hal R., Intermediate Microeconomics</t>
  </si>
  <si>
    <t>L'economia, CORE Proj. + Varian, Hal R., Intermediate Microec.</t>
  </si>
  <si>
    <t>Robert. S. Pindyck Daniel L. Rubinfeld Microeconomia</t>
  </si>
  <si>
    <t>Gaffeo, E., Mittone, L., Tamborini, R. (2015). Introduzione all'Eco</t>
  </si>
  <si>
    <t>Blanchard, Amighni, Giavazzi, MACROECONOMICS: A European Perspective</t>
  </si>
  <si>
    <t>S. STAFFOLANI, Microeconomia: Introduzione all'Economia Politica + R. H. FRANK e E. CARTWRIGHT</t>
  </si>
  <si>
    <t>Blanchard, Amighni, Giavazzi. + Delli Gatti, Gallegati, Gallegati. Macroeconomia. Fatti, teorie, politiche.</t>
  </si>
  <si>
    <t>Blanchard, Amighni, Giavazzi</t>
  </si>
  <si>
    <t> </t>
  </si>
  <si>
    <t>Altra esperienza riconosciuta dal corso di studi</t>
  </si>
  <si>
    <t>Iniziativa personale</t>
  </si>
  <si>
    <t>Non hanno compiuto studi all'estero</t>
  </si>
  <si>
    <t>VARIAZ 2010-18</t>
  </si>
  <si>
    <t>INTERNAZIONALIZZAZIONE</t>
  </si>
  <si>
    <t>Svolto periodi di studio all'estero durante il biennio magistrale (%)</t>
  </si>
  <si>
    <t>Con Erasmus o altro programma UE</t>
  </si>
  <si>
    <t>Al Sud, ma laureati al Centro-Nord</t>
  </si>
  <si>
    <t>Al Centro, ma laureati al Nord/Sud</t>
  </si>
  <si>
    <t>Al Nord, ma laureati al Centro-Sud</t>
  </si>
  <si>
    <t>Economia imprese e mercati  Profilo "metodi quantitativi per le scienze economiche"</t>
  </si>
  <si>
    <t>Alta Borghesia</t>
  </si>
  <si>
    <t>Stessa area geografica (Nord/Centro/Sud)</t>
  </si>
  <si>
    <t>anno</t>
  </si>
  <si>
    <t>grafico</t>
  </si>
  <si>
    <t>GRAFICO CONFRONTO CLASSI DI LAUREA (dati L-18 da pagina: Immatr L-18)</t>
  </si>
  <si>
    <t>9. PROSPETTIVE DI STUDIO</t>
  </si>
  <si>
    <t>Intendono proseguire gli studi dopo il conseguimento del titolo (%)</t>
  </si>
  <si>
    <t>Altra laurea di primo livello</t>
  </si>
  <si>
    <t>/</t>
  </si>
  <si>
    <t>Laurea magistrale biennale</t>
  </si>
  <si>
    <t>Laurea magistrale a ciclo unico</t>
  </si>
  <si>
    <t>Dottorato di ricerca</t>
  </si>
  <si>
    <t>Diploma accademico (Alta Formazione Artistica e Musicale) </t>
  </si>
  <si>
    <t>Scuola di specializzazione post-laurea</t>
  </si>
  <si>
    <t>Master universitario</t>
  </si>
  <si>
    <t>Altro tipo di master o corso di perfezionamento</t>
  </si>
  <si>
    <t>Tirocinio, praticantato</t>
  </si>
  <si>
    <t>Attività sostenuta da borsa o assegno di studio</t>
  </si>
  <si>
    <t>Altre attività di qualificazione professionale</t>
  </si>
  <si>
    <t>Non intendono proseguire</t>
  </si>
  <si>
    <t>Area Geografica</t>
  </si>
  <si>
    <t>Università Telematiche</t>
  </si>
  <si>
    <t>laureati L-33</t>
  </si>
  <si>
    <t>Prospettive di Studio</t>
  </si>
  <si>
    <t>Al Sud, ma laureati al        Centro-Nord</t>
  </si>
  <si>
    <t>Altra esperienza riconosciuta dal cdlm</t>
  </si>
  <si>
    <t>Nome CDL     L-33   selezionato</t>
  </si>
  <si>
    <t>Rapporto con tot CFU del CDL</t>
  </si>
  <si>
    <t>∆ differenza fra L-33 ed     L-18</t>
  </si>
  <si>
    <t>L-33 senza storia econ</t>
  </si>
  <si>
    <t>si</t>
  </si>
  <si>
    <t>MARCHE Politecnica</t>
  </si>
  <si>
    <t>Rapporto con tot CFU del CDL  (180 cfu)</t>
  </si>
  <si>
    <t>Rapporto con tot CFU del CDL       (180 cfu)</t>
  </si>
  <si>
    <t>min</t>
  </si>
  <si>
    <t>L-33 senza contare storia economica *</t>
  </si>
  <si>
    <t>CFU di materie economiche (SECS-P01,02,03,04,05 e 06) incluse nel piano degli studi dei CDL classe L-18 e L-33 per ogni ateneo considerato.                                                                                                                                                            (Sono incluse tutte le materie economiche proposte nel piano di studi in questione, sono ecluse dal conteggio le materie economiche facoltative qualora la scelta comprenda anche materie non facenti parte del gruppo SECS-P01/06)</t>
  </si>
  <si>
    <t>L-33  contando storia economica</t>
  </si>
  <si>
    <t>∆ differenza fra CFU dell'offerta formativa e limite minimo previsto per legge = 16 CFU</t>
  </si>
  <si>
    <t>∆ differenza fra CFU dell'offerta formativa e limite minimo previsto per legge = 40 CFU</t>
  </si>
  <si>
    <r>
      <t>∆</t>
    </r>
    <r>
      <rPr>
        <sz val="9.6"/>
        <color theme="1"/>
        <rFont val="Calibri"/>
        <family val="2"/>
      </rPr>
      <t xml:space="preserve"> differenza fra CFU dell'offerta formativa e limite minimo previsto per legge</t>
    </r>
    <r>
      <rPr>
        <sz val="12"/>
        <color theme="1"/>
        <rFont val="Calibri"/>
        <family val="2"/>
      </rPr>
      <t xml:space="preserve">      = 40 CFU</t>
    </r>
  </si>
  <si>
    <r>
      <t>∆</t>
    </r>
    <r>
      <rPr>
        <sz val="9.6"/>
        <color theme="1"/>
        <rFont val="Calibri"/>
        <family val="2"/>
      </rPr>
      <t xml:space="preserve"> differenza fra CFU dell'offerta formativa e limite minimo previsto per legge</t>
    </r>
    <r>
      <rPr>
        <sz val="12"/>
        <color theme="1"/>
        <rFont val="Calibri"/>
        <family val="2"/>
      </rPr>
      <t xml:space="preserve">      = 16 CFU</t>
    </r>
  </si>
  <si>
    <t>L-33  con storia economica</t>
  </si>
  <si>
    <t>LOMBARDIA/Lazio</t>
  </si>
  <si>
    <t>Roma Maria SS.Assunta LUMSA</t>
  </si>
  <si>
    <t>FRIULI VENEZIA GIULIA</t>
  </si>
  <si>
    <t>Verifica somma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</si>
</sst>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
    <numFmt numFmtId="166" formatCode="#.##0.00"/>
    <numFmt numFmtId="167" formatCode="0.0"/>
  </numFmts>
  <fonts count="19" x14ac:knownFonts="1">
    <font>
      <sz val="12"/>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b/>
      <sz val="12"/>
      <color rgb="FFFF0000"/>
      <name val="Calibri"/>
      <family val="2"/>
      <scheme val="minor"/>
    </font>
    <font>
      <sz val="12"/>
      <color rgb="FFFF0000"/>
      <name val="Calibri"/>
      <family val="2"/>
      <scheme val="minor"/>
    </font>
    <font>
      <b/>
      <sz val="12"/>
      <color rgb="FF000000"/>
      <name val="Calibri"/>
      <family val="2"/>
      <scheme val="minor"/>
    </font>
    <font>
      <i/>
      <sz val="12"/>
      <color theme="1"/>
      <name val="Calibri"/>
      <family val="2"/>
      <scheme val="minor"/>
    </font>
    <font>
      <sz val="9"/>
      <color theme="1"/>
      <name val="Calibri"/>
      <family val="2"/>
      <scheme val="minor"/>
    </font>
    <font>
      <b/>
      <sz val="11"/>
      <color theme="1"/>
      <name val="Calibri"/>
      <family val="2"/>
      <scheme val="minor"/>
    </font>
    <font>
      <i/>
      <sz val="11"/>
      <color theme="1"/>
      <name val="Calibri"/>
      <family val="2"/>
      <scheme val="minor"/>
    </font>
    <font>
      <b/>
      <i/>
      <sz val="12"/>
      <color theme="1"/>
      <name val="Calibri"/>
      <family val="2"/>
      <scheme val="minor"/>
    </font>
    <font>
      <b/>
      <sz val="12"/>
      <color rgb="FFC00000"/>
      <name val="Calibri"/>
      <family val="2"/>
      <scheme val="minor"/>
    </font>
    <font>
      <sz val="12"/>
      <name val="Calibri"/>
      <family val="2"/>
      <scheme val="minor"/>
    </font>
    <font>
      <b/>
      <sz val="12"/>
      <name val="Calibri"/>
      <family val="2"/>
      <scheme val="minor"/>
    </font>
    <font>
      <sz val="12"/>
      <color theme="9" tint="-0.249977111117893"/>
      <name val="Calibri"/>
      <family val="2"/>
      <scheme val="minor"/>
    </font>
    <font>
      <sz val="12"/>
      <color theme="1"/>
      <name val="Calibri"/>
      <family val="2"/>
    </font>
    <font>
      <sz val="9.6"/>
      <color theme="1"/>
      <name val="Calibri"/>
      <family val="2"/>
    </font>
    <font>
      <b/>
      <sz val="12"/>
      <color theme="1"/>
      <name val="Calibri"/>
      <family val="2"/>
    </font>
  </fonts>
  <fills count="21">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91">
    <xf numFmtId="0" fontId="0" fillId="0" borderId="0" xfId="0"/>
    <xf numFmtId="0" fontId="0" fillId="0" borderId="0" xfId="0" applyAlignment="1">
      <alignment horizontal="right"/>
    </xf>
    <xf numFmtId="0" fontId="0" fillId="0" borderId="0" xfId="0" applyAlignment="1">
      <alignment horizontal="center"/>
    </xf>
    <xf numFmtId="0" fontId="0" fillId="0" borderId="0" xfId="0" applyFill="1" applyAlignment="1">
      <alignment horizontal="center"/>
    </xf>
    <xf numFmtId="0" fontId="2" fillId="0" borderId="0" xfId="0" applyFont="1"/>
    <xf numFmtId="0" fontId="0" fillId="0" borderId="0" xfId="0" applyAlignment="1">
      <alignment vertical="top"/>
    </xf>
    <xf numFmtId="0" fontId="0" fillId="0" borderId="0" xfId="0" applyFont="1"/>
    <xf numFmtId="3" fontId="0" fillId="0" borderId="0" xfId="0" applyNumberFormat="1"/>
    <xf numFmtId="0" fontId="3" fillId="0" borderId="0" xfId="0" applyFont="1"/>
    <xf numFmtId="3" fontId="3" fillId="0" borderId="0" xfId="0" applyNumberFormat="1" applyFont="1"/>
    <xf numFmtId="164" fontId="3" fillId="0" borderId="0" xfId="0" applyNumberFormat="1" applyFont="1"/>
    <xf numFmtId="164" fontId="3" fillId="0" borderId="0" xfId="0" applyNumberFormat="1" applyFont="1" applyAlignment="1">
      <alignment horizontal="right"/>
    </xf>
    <xf numFmtId="0" fontId="4" fillId="0" borderId="0" xfId="0" applyFont="1"/>
    <xf numFmtId="2" fontId="0" fillId="0" borderId="0" xfId="0" applyNumberFormat="1"/>
    <xf numFmtId="0" fontId="0" fillId="0" borderId="0" xfId="0" applyNumberFormat="1"/>
    <xf numFmtId="0" fontId="0" fillId="0" borderId="0" xfId="0" applyFont="1" applyFill="1"/>
    <xf numFmtId="0" fontId="0" fillId="0" borderId="0" xfId="0" applyNumberFormat="1" applyAlignment="1">
      <alignment horizontal="right"/>
    </xf>
    <xf numFmtId="9" fontId="0" fillId="0" borderId="0" xfId="1" applyFont="1"/>
    <xf numFmtId="9" fontId="3" fillId="0" borderId="0" xfId="1" applyFont="1"/>
    <xf numFmtId="9" fontId="5" fillId="0" borderId="0" xfId="1" applyFont="1"/>
    <xf numFmtId="9" fontId="0" fillId="0" borderId="0" xfId="1" applyFont="1" applyAlignment="1">
      <alignment horizontal="right"/>
    </xf>
    <xf numFmtId="1" fontId="0" fillId="0" borderId="0" xfId="0" applyNumberFormat="1"/>
    <xf numFmtId="1" fontId="0" fillId="0" borderId="0" xfId="0" applyNumberFormat="1" applyAlignment="1">
      <alignment horizontal="right"/>
    </xf>
    <xf numFmtId="0" fontId="3" fillId="2" borderId="0" xfId="0" applyFont="1" applyFill="1"/>
    <xf numFmtId="9" fontId="0" fillId="2" borderId="0" xfId="1" applyFont="1" applyFill="1"/>
    <xf numFmtId="0" fontId="3" fillId="3" borderId="0" xfId="0" applyFont="1" applyFill="1"/>
    <xf numFmtId="0" fontId="0" fillId="3" borderId="0" xfId="0" applyFill="1"/>
    <xf numFmtId="0" fontId="5" fillId="0" borderId="0" xfId="0" applyFont="1"/>
    <xf numFmtId="2" fontId="3" fillId="0" borderId="0" xfId="0" applyNumberFormat="1" applyFont="1"/>
    <xf numFmtId="0" fontId="3" fillId="0" borderId="0" xfId="0" applyNumberFormat="1" applyFont="1"/>
    <xf numFmtId="165" fontId="0" fillId="0" borderId="0" xfId="1" applyNumberFormat="1" applyFont="1"/>
    <xf numFmtId="0" fontId="6" fillId="0" borderId="0" xfId="0" applyFont="1"/>
    <xf numFmtId="2" fontId="6" fillId="0" borderId="0" xfId="0" applyNumberFormat="1" applyFont="1"/>
    <xf numFmtId="165" fontId="6" fillId="0" borderId="0" xfId="0" applyNumberFormat="1" applyFont="1"/>
    <xf numFmtId="1" fontId="0" fillId="0" borderId="0" xfId="1" applyNumberFormat="1" applyFont="1"/>
    <xf numFmtId="0" fontId="0" fillId="0" borderId="0" xfId="0" applyNumberFormat="1" applyFont="1"/>
    <xf numFmtId="1" fontId="0" fillId="0" borderId="0" xfId="0" applyNumberFormat="1" applyFont="1"/>
    <xf numFmtId="1" fontId="0" fillId="0" borderId="0" xfId="0" applyNumberFormat="1" applyFont="1" applyAlignment="1">
      <alignment horizontal="right"/>
    </xf>
    <xf numFmtId="1" fontId="0" fillId="0" borderId="0" xfId="0" applyNumberFormat="1" applyFont="1" applyFill="1"/>
    <xf numFmtId="165" fontId="0" fillId="0" borderId="0" xfId="1" applyNumberFormat="1" applyFont="1" applyAlignment="1">
      <alignment horizontal="right"/>
    </xf>
    <xf numFmtId="0" fontId="3" fillId="4" borderId="0" xfId="0" applyFont="1" applyFill="1"/>
    <xf numFmtId="0" fontId="0" fillId="4" borderId="0" xfId="0" applyFill="1"/>
    <xf numFmtId="2" fontId="0" fillId="4" borderId="0" xfId="0" applyNumberFormat="1" applyFill="1"/>
    <xf numFmtId="2" fontId="3" fillId="4" borderId="0" xfId="0" applyNumberFormat="1" applyFont="1" applyFill="1"/>
    <xf numFmtId="0" fontId="3" fillId="5" borderId="0" xfId="0" applyFont="1" applyFill="1"/>
    <xf numFmtId="0" fontId="0" fillId="5" borderId="0" xfId="0" applyFill="1"/>
    <xf numFmtId="9" fontId="0" fillId="5" borderId="0" xfId="1" applyFont="1" applyFill="1"/>
    <xf numFmtId="2" fontId="0" fillId="5" borderId="0" xfId="0" applyNumberFormat="1" applyFill="1"/>
    <xf numFmtId="0" fontId="3" fillId="6" borderId="0" xfId="0" applyFont="1" applyFill="1"/>
    <xf numFmtId="1" fontId="0" fillId="6" borderId="0" xfId="0" applyNumberFormat="1" applyFill="1"/>
    <xf numFmtId="0" fontId="3" fillId="7" borderId="0" xfId="0" applyFont="1" applyFill="1"/>
    <xf numFmtId="1" fontId="0" fillId="7" borderId="0" xfId="0" applyNumberFormat="1" applyFill="1"/>
    <xf numFmtId="0" fontId="0" fillId="7" borderId="0" xfId="0" applyFill="1"/>
    <xf numFmtId="165" fontId="0" fillId="7" borderId="0" xfId="1" applyNumberFormat="1" applyFont="1" applyFill="1"/>
    <xf numFmtId="2" fontId="0" fillId="7" borderId="0" xfId="0" applyNumberFormat="1" applyFill="1"/>
    <xf numFmtId="165" fontId="5" fillId="7" borderId="0" xfId="1" applyNumberFormat="1" applyFont="1" applyFill="1"/>
    <xf numFmtId="165" fontId="3" fillId="7" borderId="0" xfId="1" applyNumberFormat="1" applyFont="1" applyFill="1"/>
    <xf numFmtId="165" fontId="1" fillId="7" borderId="0" xfId="1" applyNumberFormat="1" applyFont="1" applyFill="1"/>
    <xf numFmtId="1" fontId="0" fillId="5" borderId="0" xfId="0" applyNumberFormat="1" applyFill="1"/>
    <xf numFmtId="166" fontId="0" fillId="0" borderId="0" xfId="0" applyNumberFormat="1"/>
    <xf numFmtId="9" fontId="0" fillId="6" borderId="0" xfId="1" applyFont="1" applyFill="1"/>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xf numFmtId="0" fontId="0" fillId="4" borderId="1" xfId="0" applyFill="1" applyBorder="1"/>
    <xf numFmtId="0" fontId="3" fillId="4" borderId="1" xfId="0" applyFont="1" applyFill="1" applyBorder="1"/>
    <xf numFmtId="0" fontId="0" fillId="0" borderId="1" xfId="0" applyFont="1" applyBorder="1"/>
    <xf numFmtId="0" fontId="0" fillId="0" borderId="1" xfId="0" applyNumberFormat="1" applyFont="1" applyBorder="1"/>
    <xf numFmtId="0" fontId="0" fillId="0" borderId="1" xfId="0" applyFont="1" applyFill="1" applyBorder="1"/>
    <xf numFmtId="0" fontId="3" fillId="7" borderId="1" xfId="0" applyFont="1" applyFill="1" applyBorder="1"/>
    <xf numFmtId="0" fontId="0" fillId="0" borderId="1" xfId="0" applyBorder="1"/>
    <xf numFmtId="0" fontId="0" fillId="0" borderId="1" xfId="0" applyBorder="1" applyAlignment="1">
      <alignment horizontal="right"/>
    </xf>
    <xf numFmtId="2" fontId="0" fillId="4" borderId="3" xfId="0" applyNumberFormat="1" applyFill="1" applyBorder="1"/>
    <xf numFmtId="2" fontId="3" fillId="4" borderId="3" xfId="0" applyNumberFormat="1" applyFont="1" applyFill="1" applyBorder="1"/>
    <xf numFmtId="1" fontId="0" fillId="0" borderId="3" xfId="0" applyNumberFormat="1" applyBorder="1"/>
    <xf numFmtId="1" fontId="0" fillId="0" borderId="3" xfId="0" applyNumberFormat="1" applyBorder="1" applyAlignment="1">
      <alignment horizontal="right"/>
    </xf>
    <xf numFmtId="2" fontId="0" fillId="0" borderId="3" xfId="0" applyNumberFormat="1" applyBorder="1"/>
    <xf numFmtId="1" fontId="0" fillId="7" borderId="3" xfId="0" applyNumberFormat="1" applyFill="1" applyBorder="1"/>
    <xf numFmtId="2" fontId="0" fillId="7" borderId="3" xfId="0" applyNumberFormat="1" applyFill="1" applyBorder="1"/>
    <xf numFmtId="0" fontId="3" fillId="4" borderId="3" xfId="0" applyFont="1" applyFill="1" applyBorder="1"/>
    <xf numFmtId="0" fontId="0" fillId="0" borderId="3" xfId="0" applyBorder="1"/>
    <xf numFmtId="1" fontId="0" fillId="0" borderId="3" xfId="0" applyNumberFormat="1" applyFont="1" applyBorder="1" applyAlignment="1">
      <alignment horizontal="right"/>
    </xf>
    <xf numFmtId="0" fontId="3" fillId="0" borderId="1" xfId="0" applyFont="1" applyBorder="1"/>
    <xf numFmtId="0" fontId="7" fillId="0" borderId="1" xfId="0" applyFont="1" applyBorder="1"/>
    <xf numFmtId="0" fontId="7" fillId="0" borderId="1" xfId="0" applyFont="1" applyBorder="1" applyAlignment="1">
      <alignment wrapText="1"/>
    </xf>
    <xf numFmtId="0" fontId="0" fillId="0" borderId="0" xfId="0" applyBorder="1"/>
    <xf numFmtId="2" fontId="0" fillId="0" borderId="0" xfId="0" applyNumberFormat="1" applyBorder="1"/>
    <xf numFmtId="165" fontId="0" fillId="7" borderId="3" xfId="1" applyNumberFormat="1" applyFont="1" applyFill="1" applyBorder="1"/>
    <xf numFmtId="165" fontId="5" fillId="7" borderId="3" xfId="1" applyNumberFormat="1" applyFont="1" applyFill="1" applyBorder="1"/>
    <xf numFmtId="165" fontId="1" fillId="7" borderId="3" xfId="1" applyNumberFormat="1" applyFont="1" applyFill="1" applyBorder="1"/>
    <xf numFmtId="0" fontId="3" fillId="9" borderId="0" xfId="0" applyFont="1" applyFill="1" applyBorder="1"/>
    <xf numFmtId="0" fontId="3" fillId="8" borderId="0" xfId="0" applyFont="1" applyFill="1" applyAlignment="1">
      <alignment horizontal="left" vertical="top"/>
    </xf>
    <xf numFmtId="2" fontId="0" fillId="8" borderId="0" xfId="0" applyNumberFormat="1" applyFill="1"/>
    <xf numFmtId="0" fontId="3" fillId="0" borderId="0" xfId="0" applyNumberFormat="1" applyFont="1" applyAlignment="1">
      <alignment wrapText="1"/>
    </xf>
    <xf numFmtId="0" fontId="0" fillId="0" borderId="0" xfId="0" applyAlignment="1">
      <alignment vertical="center"/>
    </xf>
    <xf numFmtId="0" fontId="0" fillId="0" borderId="0" xfId="0" applyAlignment="1">
      <alignment horizontal="center" vertical="center"/>
    </xf>
    <xf numFmtId="0" fontId="7" fillId="0" borderId="0" xfId="0" applyFont="1"/>
    <xf numFmtId="0" fontId="7"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9" fillId="6" borderId="7" xfId="0" applyFont="1" applyFill="1" applyBorder="1" applyAlignment="1">
      <alignment vertical="center" wrapText="1"/>
    </xf>
    <xf numFmtId="0" fontId="9" fillId="6" borderId="8" xfId="0" applyFont="1" applyFill="1" applyBorder="1" applyAlignment="1">
      <alignment vertical="center" wrapText="1"/>
    </xf>
    <xf numFmtId="0" fontId="10" fillId="0" borderId="10" xfId="0" applyFont="1" applyBorder="1" applyAlignment="1">
      <alignment vertical="center" wrapText="1"/>
    </xf>
    <xf numFmtId="0" fontId="10" fillId="0" borderId="8" xfId="0" applyFont="1" applyBorder="1" applyAlignment="1">
      <alignment vertical="center" wrapText="1"/>
    </xf>
    <xf numFmtId="0" fontId="0" fillId="9" borderId="0" xfId="0" applyFill="1"/>
    <xf numFmtId="0" fontId="0" fillId="12" borderId="0" xfId="0" applyFill="1"/>
    <xf numFmtId="9" fontId="0" fillId="12" borderId="0" xfId="0" applyNumberFormat="1" applyFill="1"/>
    <xf numFmtId="0" fontId="5" fillId="0" borderId="0" xfId="0" applyFont="1" applyAlignment="1">
      <alignment vertical="top" wrapText="1"/>
    </xf>
    <xf numFmtId="0" fontId="3" fillId="0" borderId="0" xfId="0" applyFont="1" applyAlignment="1">
      <alignment vertical="top" wrapText="1"/>
    </xf>
    <xf numFmtId="0" fontId="11" fillId="0" borderId="1" xfId="0" applyFont="1" applyFill="1" applyBorder="1" applyAlignment="1"/>
    <xf numFmtId="0" fontId="0" fillId="7" borderId="1" xfId="0" applyFill="1" applyBorder="1"/>
    <xf numFmtId="0" fontId="11" fillId="0" borderId="1" xfId="0" applyFont="1" applyBorder="1" applyAlignment="1">
      <alignment wrapText="1"/>
    </xf>
    <xf numFmtId="0" fontId="3" fillId="0" borderId="3" xfId="0" applyFont="1" applyBorder="1"/>
    <xf numFmtId="165" fontId="4" fillId="7" borderId="3" xfId="1" applyNumberFormat="1" applyFont="1" applyFill="1" applyBorder="1"/>
    <xf numFmtId="0" fontId="7" fillId="0" borderId="1" xfId="0" applyFont="1" applyBorder="1" applyAlignment="1">
      <alignment vertical="top" wrapText="1"/>
    </xf>
    <xf numFmtId="0" fontId="0" fillId="6" borderId="0" xfId="0" applyFill="1" applyAlignment="1">
      <alignment vertical="center"/>
    </xf>
    <xf numFmtId="0" fontId="0" fillId="6" borderId="0" xfId="0" applyFill="1" applyAlignment="1">
      <alignment vertical="center" wrapText="1"/>
    </xf>
    <xf numFmtId="0" fontId="0" fillId="6" borderId="0" xfId="0" applyFill="1" applyAlignment="1">
      <alignment horizontal="center" vertical="center"/>
    </xf>
    <xf numFmtId="0" fontId="0" fillId="6" borderId="0" xfId="0" applyFill="1" applyAlignment="1">
      <alignment horizontal="center" vertical="center" wrapText="1"/>
    </xf>
    <xf numFmtId="0" fontId="3" fillId="13" borderId="0" xfId="0" applyFont="1" applyFill="1"/>
    <xf numFmtId="3" fontId="3" fillId="13" borderId="0" xfId="0" applyNumberFormat="1" applyFont="1" applyFill="1"/>
    <xf numFmtId="1" fontId="12" fillId="6" borderId="0" xfId="0" applyNumberFormat="1" applyFont="1" applyFill="1"/>
    <xf numFmtId="0" fontId="12" fillId="5" borderId="0" xfId="0" applyFont="1" applyFill="1"/>
    <xf numFmtId="2" fontId="12" fillId="5" borderId="0" xfId="0" applyNumberFormat="1" applyFont="1" applyFill="1"/>
    <xf numFmtId="1" fontId="12" fillId="5" borderId="0" xfId="0" applyNumberFormat="1" applyFont="1" applyFill="1"/>
    <xf numFmtId="9" fontId="14" fillId="5" borderId="0" xfId="1" applyFont="1" applyFill="1"/>
    <xf numFmtId="0" fontId="3" fillId="12" borderId="0" xfId="0" applyFont="1" applyFill="1"/>
    <xf numFmtId="3" fontId="3" fillId="12" borderId="0" xfId="0" applyNumberFormat="1" applyFont="1" applyFill="1"/>
    <xf numFmtId="9" fontId="3" fillId="12" borderId="0" xfId="1" applyFont="1" applyFill="1"/>
    <xf numFmtId="165" fontId="0" fillId="7" borderId="0" xfId="1" applyNumberFormat="1" applyFont="1" applyFill="1" applyAlignment="1">
      <alignment horizontal="right"/>
    </xf>
    <xf numFmtId="1" fontId="0" fillId="7" borderId="3" xfId="0" applyNumberFormat="1" applyFont="1" applyFill="1" applyBorder="1" applyAlignment="1">
      <alignment horizontal="right"/>
    </xf>
    <xf numFmtId="165" fontId="15" fillId="7" borderId="0" xfId="1" applyNumberFormat="1" applyFont="1" applyFill="1"/>
    <xf numFmtId="165" fontId="13" fillId="7" borderId="0" xfId="1" applyNumberFormat="1" applyFont="1" applyFill="1"/>
    <xf numFmtId="0" fontId="3" fillId="14" borderId="0" xfId="0" applyFont="1" applyFill="1"/>
    <xf numFmtId="1" fontId="3" fillId="14" borderId="0" xfId="0" applyNumberFormat="1" applyFont="1" applyFill="1"/>
    <xf numFmtId="9" fontId="3" fillId="14" borderId="0" xfId="1" applyFont="1" applyFill="1"/>
    <xf numFmtId="0" fontId="0" fillId="15" borderId="0" xfId="0" applyFill="1"/>
    <xf numFmtId="0" fontId="3" fillId="15" borderId="0" xfId="0" applyFont="1" applyFill="1"/>
    <xf numFmtId="0" fontId="0" fillId="0" borderId="12" xfId="0" applyBorder="1"/>
    <xf numFmtId="0" fontId="3" fillId="16" borderId="12" xfId="0" applyFont="1" applyFill="1" applyBorder="1"/>
    <xf numFmtId="0" fontId="3" fillId="0" borderId="12" xfId="0" applyFont="1" applyBorder="1"/>
    <xf numFmtId="0" fontId="0" fillId="17" borderId="12" xfId="0" applyFill="1" applyBorder="1" applyAlignment="1">
      <alignment wrapText="1"/>
    </xf>
    <xf numFmtId="0" fontId="0" fillId="17" borderId="12" xfId="0" applyFill="1" applyBorder="1"/>
    <xf numFmtId="0" fontId="3" fillId="18" borderId="0" xfId="0" applyFont="1" applyFill="1"/>
    <xf numFmtId="0" fontId="0" fillId="18" borderId="0" xfId="0" applyFill="1"/>
    <xf numFmtId="0" fontId="0" fillId="7" borderId="0" xfId="0" applyFill="1" applyAlignment="1">
      <alignment vertical="top" wrapText="1"/>
    </xf>
    <xf numFmtId="0" fontId="3" fillId="7" borderId="0" xfId="0" applyFont="1" applyFill="1" applyAlignment="1">
      <alignment vertical="top" wrapText="1"/>
    </xf>
    <xf numFmtId="0" fontId="3" fillId="18" borderId="0" xfId="0" applyFont="1" applyFill="1" applyBorder="1"/>
    <xf numFmtId="0" fontId="3" fillId="7" borderId="0" xfId="0" applyFont="1" applyFill="1" applyAlignment="1">
      <alignment wrapText="1"/>
    </xf>
    <xf numFmtId="0" fontId="0" fillId="7" borderId="0" xfId="0" applyFill="1" applyAlignment="1"/>
    <xf numFmtId="0" fontId="0" fillId="6" borderId="0" xfId="0" applyFill="1" applyAlignment="1">
      <alignment horizontal="center"/>
    </xf>
    <xf numFmtId="167" fontId="0" fillId="0" borderId="0" xfId="0" applyNumberFormat="1"/>
    <xf numFmtId="0" fontId="16" fillId="6" borderId="0" xfId="0" applyFont="1" applyFill="1" applyAlignment="1">
      <alignment wrapText="1"/>
    </xf>
    <xf numFmtId="0" fontId="3" fillId="6" borderId="0" xfId="0" applyFont="1" applyFill="1" applyAlignment="1">
      <alignment wrapText="1"/>
    </xf>
    <xf numFmtId="0" fontId="18" fillId="6" borderId="0" xfId="0" applyFont="1" applyFill="1" applyAlignment="1">
      <alignment wrapText="1"/>
    </xf>
    <xf numFmtId="0" fontId="3" fillId="0" borderId="0" xfId="0" applyFont="1" applyFill="1" applyAlignment="1">
      <alignment horizontal="center"/>
    </xf>
    <xf numFmtId="0" fontId="0" fillId="6" borderId="0" xfId="0" applyFont="1" applyFill="1" applyAlignment="1">
      <alignment horizontal="center"/>
    </xf>
    <xf numFmtId="0" fontId="0" fillId="6" borderId="0" xfId="0" applyFont="1" applyFill="1" applyAlignment="1">
      <alignment wrapText="1"/>
    </xf>
    <xf numFmtId="0" fontId="0" fillId="6" borderId="0" xfId="0" applyFont="1" applyFill="1" applyAlignment="1"/>
    <xf numFmtId="0" fontId="3" fillId="6" borderId="0" xfId="0" applyFont="1" applyFill="1" applyAlignment="1"/>
    <xf numFmtId="1" fontId="4" fillId="6" borderId="0" xfId="0" applyNumberFormat="1" applyFont="1" applyFill="1"/>
    <xf numFmtId="0" fontId="0" fillId="19" borderId="0" xfId="0" applyFill="1"/>
    <xf numFmtId="0" fontId="0" fillId="19" borderId="0" xfId="0" applyFont="1" applyFill="1"/>
    <xf numFmtId="0" fontId="3" fillId="20" borderId="0" xfId="0" applyFont="1" applyFill="1"/>
    <xf numFmtId="1" fontId="0" fillId="20" borderId="0" xfId="0" applyNumberFormat="1" applyFill="1"/>
    <xf numFmtId="0" fontId="0" fillId="13" borderId="0" xfId="0" applyFill="1"/>
    <xf numFmtId="0" fontId="0" fillId="13" borderId="0" xfId="0" applyFont="1" applyFill="1"/>
    <xf numFmtId="0" fontId="0" fillId="11" borderId="2" xfId="0" applyFill="1" applyBorder="1" applyAlignment="1">
      <alignment horizontal="center" vertical="top" wrapText="1"/>
    </xf>
    <xf numFmtId="0" fontId="0" fillId="0" borderId="2" xfId="0" applyBorder="1" applyAlignment="1">
      <alignment horizontal="center"/>
    </xf>
    <xf numFmtId="9" fontId="0" fillId="0" borderId="2" xfId="1" applyFont="1" applyBorder="1" applyAlignment="1">
      <alignment horizontal="center"/>
    </xf>
    <xf numFmtId="0" fontId="3" fillId="10" borderId="0" xfId="0" applyFont="1" applyFill="1" applyAlignment="1">
      <alignment horizontal="center" vertical="top"/>
    </xf>
    <xf numFmtId="0" fontId="9" fillId="6" borderId="9" xfId="0" applyFont="1" applyFill="1" applyBorder="1" applyAlignment="1">
      <alignment vertical="center" wrapText="1"/>
    </xf>
    <xf numFmtId="0" fontId="9" fillId="6" borderId="7" xfId="0" applyFont="1" applyFill="1" applyBorder="1" applyAlignment="1">
      <alignment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10" fillId="0" borderId="9" xfId="0" applyFont="1" applyBorder="1" applyAlignment="1">
      <alignment vertical="center" wrapText="1"/>
    </xf>
    <xf numFmtId="0" fontId="10" fillId="0" borderId="7" xfId="0" applyFont="1" applyBorder="1" applyAlignment="1">
      <alignment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0" fillId="0" borderId="0" xfId="0" applyAlignment="1">
      <alignment horizontal="center" vertical="top" wrapText="1"/>
    </xf>
    <xf numFmtId="3" fontId="3" fillId="13" borderId="0" xfId="0" applyNumberFormat="1" applyFont="1" applyFill="1" applyAlignment="1">
      <alignment horizontal="center"/>
    </xf>
    <xf numFmtId="0" fontId="3" fillId="4" borderId="0" xfId="0" applyFont="1" applyFill="1" applyBorder="1" applyAlignment="1">
      <alignment horizontal="center"/>
    </xf>
    <xf numFmtId="0" fontId="3" fillId="4" borderId="1" xfId="0" applyFont="1" applyFill="1" applyBorder="1" applyAlignment="1">
      <alignment horizontal="center"/>
    </xf>
    <xf numFmtId="0" fontId="3" fillId="4" borderId="3" xfId="0" applyFont="1" applyFill="1" applyBorder="1" applyAlignment="1">
      <alignment horizontal="center" wrapText="1"/>
    </xf>
    <xf numFmtId="0" fontId="0" fillId="0" borderId="11" xfId="0" applyBorder="1" applyAlignment="1">
      <alignment horizontal="center" wrapText="1"/>
    </xf>
    <xf numFmtId="0" fontId="0" fillId="14" borderId="0" xfId="0" applyFill="1" applyAlignment="1">
      <alignment horizontal="center"/>
    </xf>
    <xf numFmtId="0" fontId="0" fillId="6" borderId="0" xfId="0" applyFill="1" applyAlignment="1">
      <alignment horizontal="center" vertical="center" wrapText="1"/>
    </xf>
    <xf numFmtId="0" fontId="8" fillId="6" borderId="0" xfId="0" applyFont="1" applyFill="1" applyAlignment="1">
      <alignment horizontal="center" vertical="top" wrapText="1"/>
    </xf>
    <xf numFmtId="0" fontId="0" fillId="0" borderId="0" xfId="0" applyAlignment="1">
      <alignment horizontal="center" vertical="center"/>
    </xf>
  </cellXfs>
  <cellStyles count="2">
    <cellStyle name="Normale" xfId="0" builtinId="0"/>
    <cellStyle name="Percentuale" xfId="1" builtinId="5"/>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Immatricolati</a:t>
            </a:r>
            <a:r>
              <a:rPr lang="en-US" baseline="0"/>
              <a:t> totali L-18 VS L-33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tx>
            <c:strRef>
              <c:f>'dati immatr. L-18 &amp; L-33'!$T$2</c:f>
              <c:strCache>
                <c:ptCount val="1"/>
                <c:pt idx="0">
                  <c:v>L-18 - Scienze dell'economia e della gestione aziendale</c:v>
                </c:pt>
              </c:strCache>
            </c:strRef>
          </c:tx>
          <c:spPr>
            <a:solidFill>
              <a:schemeClr val="accent1"/>
            </a:solidFill>
            <a:ln>
              <a:noFill/>
            </a:ln>
            <a:effectLst/>
          </c:spPr>
          <c:invertIfNegative val="0"/>
          <c:cat>
            <c:strRef>
              <c:f>'dati immatr. L-18 &amp; L-33'!$U$1:$Y$1</c:f>
              <c:strCache>
                <c:ptCount val="5"/>
                <c:pt idx="0">
                  <c:v>AA 2009/10</c:v>
                </c:pt>
                <c:pt idx="1">
                  <c:v>AA 2011/2012</c:v>
                </c:pt>
                <c:pt idx="2">
                  <c:v>AA 2013/2014</c:v>
                </c:pt>
                <c:pt idx="3">
                  <c:v>AA 2015/2016</c:v>
                </c:pt>
                <c:pt idx="4">
                  <c:v>AA 2017/18</c:v>
                </c:pt>
              </c:strCache>
            </c:strRef>
          </c:cat>
          <c:val>
            <c:numRef>
              <c:f>'dati immatr. L-18 &amp; L-33'!$U$2:$Y$2</c:f>
              <c:numCache>
                <c:formatCode>#,##0</c:formatCode>
                <c:ptCount val="5"/>
                <c:pt idx="0" formatCode="General">
                  <c:v>0</c:v>
                </c:pt>
                <c:pt idx="1">
                  <c:v>29224</c:v>
                </c:pt>
                <c:pt idx="2">
                  <c:v>26843</c:v>
                </c:pt>
                <c:pt idx="3">
                  <c:v>28581</c:v>
                </c:pt>
                <c:pt idx="4">
                  <c:v>31333</c:v>
                </c:pt>
              </c:numCache>
            </c:numRef>
          </c:val>
          <c:extLst>
            <c:ext xmlns:c16="http://schemas.microsoft.com/office/drawing/2014/chart" uri="{C3380CC4-5D6E-409C-BE32-E72D297353CC}">
              <c16:uniqueId val="{00000000-805C-A74D-8AFF-EAF7D5825D57}"/>
            </c:ext>
          </c:extLst>
        </c:ser>
        <c:ser>
          <c:idx val="1"/>
          <c:order val="1"/>
          <c:tx>
            <c:strRef>
              <c:f>'dati immatr. L-18 &amp; L-33'!$T$3</c:f>
              <c:strCache>
                <c:ptCount val="1"/>
                <c:pt idx="0">
                  <c:v>L-33 - Scienze economiche</c:v>
                </c:pt>
              </c:strCache>
            </c:strRef>
          </c:tx>
          <c:spPr>
            <a:solidFill>
              <a:schemeClr val="accent2"/>
            </a:solidFill>
            <a:ln>
              <a:noFill/>
            </a:ln>
            <a:effectLst/>
          </c:spPr>
          <c:invertIfNegative val="0"/>
          <c:cat>
            <c:strRef>
              <c:f>'dati immatr. L-18 &amp; L-33'!$U$1:$Y$1</c:f>
              <c:strCache>
                <c:ptCount val="5"/>
                <c:pt idx="0">
                  <c:v>AA 2009/10</c:v>
                </c:pt>
                <c:pt idx="1">
                  <c:v>AA 2011/2012</c:v>
                </c:pt>
                <c:pt idx="2">
                  <c:v>AA 2013/2014</c:v>
                </c:pt>
                <c:pt idx="3">
                  <c:v>AA 2015/2016</c:v>
                </c:pt>
                <c:pt idx="4">
                  <c:v>AA 2017/18</c:v>
                </c:pt>
              </c:strCache>
            </c:strRef>
          </c:cat>
          <c:val>
            <c:numRef>
              <c:f>'dati immatr. L-18 &amp; L-33'!$U$3:$Y$3</c:f>
              <c:numCache>
                <c:formatCode>#,##0</c:formatCode>
                <c:ptCount val="5"/>
                <c:pt idx="0">
                  <c:v>10084</c:v>
                </c:pt>
                <c:pt idx="1">
                  <c:v>10659</c:v>
                </c:pt>
                <c:pt idx="2">
                  <c:v>10218</c:v>
                </c:pt>
                <c:pt idx="3">
                  <c:v>9835</c:v>
                </c:pt>
                <c:pt idx="4">
                  <c:v>10686</c:v>
                </c:pt>
              </c:numCache>
            </c:numRef>
          </c:val>
          <c:extLst>
            <c:ext xmlns:c16="http://schemas.microsoft.com/office/drawing/2014/chart" uri="{C3380CC4-5D6E-409C-BE32-E72D297353CC}">
              <c16:uniqueId val="{00000001-805C-A74D-8AFF-EAF7D5825D57}"/>
            </c:ext>
          </c:extLst>
        </c:ser>
        <c:dLbls>
          <c:showLegendKey val="0"/>
          <c:showVal val="0"/>
          <c:showCatName val="0"/>
          <c:showSerName val="0"/>
          <c:showPercent val="0"/>
          <c:showBubbleSize val="0"/>
        </c:dLbls>
        <c:gapWidth val="219"/>
        <c:overlap val="-27"/>
        <c:axId val="1967524448"/>
        <c:axId val="1967534784"/>
      </c:barChart>
      <c:catAx>
        <c:axId val="196752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967534784"/>
        <c:crosses val="autoZero"/>
        <c:auto val="1"/>
        <c:lblAlgn val="ctr"/>
        <c:lblOffset val="100"/>
        <c:noMultiLvlLbl val="0"/>
      </c:catAx>
      <c:valAx>
        <c:axId val="1967534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96752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solidFill>
                  <a:sysClr val="windowText" lastClr="000000"/>
                </a:solidFill>
              </a:rPr>
              <a:t>Totale Immatricolati per anno accademico e classe di laurea</a:t>
            </a:r>
          </a:p>
        </c:rich>
      </c:tx>
      <c:layout>
        <c:manualLayout>
          <c:xMode val="edge"/>
          <c:yMode val="edge"/>
          <c:x val="0.26825378560409646"/>
          <c:y val="2.63637855100126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3.687973975959561E-2"/>
          <c:y val="0.12811191240368036"/>
          <c:w val="0.94903181366341782"/>
          <c:h val="0.84707267060367453"/>
        </c:manualLayout>
      </c:layout>
      <c:barChart>
        <c:barDir val="col"/>
        <c:grouping val="clustered"/>
        <c:varyColors val="0"/>
        <c:ser>
          <c:idx val="2"/>
          <c:order val="2"/>
          <c:tx>
            <c:strRef>
              <c:f>'Immatr &amp; Iscr L-33'!$C$63</c:f>
              <c:strCache>
                <c:ptCount val="1"/>
                <c:pt idx="0">
                  <c:v>L-18</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it-IT"/>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'Immatr &amp; Iscr L-33'!$D$63:$K$63</c:f>
              <c:numCache>
                <c:formatCode>General</c:formatCode>
                <c:ptCount val="8"/>
                <c:pt idx="0">
                  <c:v>30481</c:v>
                </c:pt>
                <c:pt idx="1">
                  <c:v>29224</c:v>
                </c:pt>
                <c:pt idx="2">
                  <c:v>27498</c:v>
                </c:pt>
                <c:pt idx="3">
                  <c:v>26842</c:v>
                </c:pt>
                <c:pt idx="4">
                  <c:v>27420</c:v>
                </c:pt>
                <c:pt idx="5">
                  <c:v>28581</c:v>
                </c:pt>
                <c:pt idx="6">
                  <c:v>30438</c:v>
                </c:pt>
                <c:pt idx="7">
                  <c:v>31333</c:v>
                </c:pt>
              </c:numCache>
            </c:numRef>
          </c:val>
          <c:extLst>
            <c:ext xmlns:c16="http://schemas.microsoft.com/office/drawing/2014/chart" uri="{C3380CC4-5D6E-409C-BE32-E72D297353CC}">
              <c16:uniqueId val="{00000009-4993-A049-8066-4F1E3F0242A2}"/>
            </c:ext>
          </c:extLst>
        </c:ser>
        <c:ser>
          <c:idx val="3"/>
          <c:order val="3"/>
          <c:tx>
            <c:strRef>
              <c:f>'Immatr &amp; Iscr L-33'!$C$65</c:f>
              <c:strCache>
                <c:ptCount val="1"/>
                <c:pt idx="0">
                  <c:v>L-33</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endParaRPr lang="it-IT"/>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'Immatr &amp; Iscr L-33'!$D$65:$K$65</c:f>
              <c:numCache>
                <c:formatCode>General</c:formatCode>
                <c:ptCount val="8"/>
                <c:pt idx="1">
                  <c:v>10659</c:v>
                </c:pt>
                <c:pt idx="2">
                  <c:v>9919</c:v>
                </c:pt>
                <c:pt idx="3">
                  <c:v>10218</c:v>
                </c:pt>
                <c:pt idx="4">
                  <c:v>9620</c:v>
                </c:pt>
                <c:pt idx="5">
                  <c:v>9834</c:v>
                </c:pt>
                <c:pt idx="6">
                  <c:v>10127</c:v>
                </c:pt>
                <c:pt idx="7" formatCode="0">
                  <c:v>10686</c:v>
                </c:pt>
              </c:numCache>
            </c:numRef>
          </c:val>
          <c:extLst>
            <c:ext xmlns:c16="http://schemas.microsoft.com/office/drawing/2014/chart" uri="{C3380CC4-5D6E-409C-BE32-E72D297353CC}">
              <c16:uniqueId val="{0000000A-4993-A049-8066-4F1E3F0242A2}"/>
            </c:ext>
          </c:extLst>
        </c:ser>
        <c:dLbls>
          <c:dLblPos val="inEnd"/>
          <c:showLegendKey val="0"/>
          <c:showVal val="1"/>
          <c:showCatName val="0"/>
          <c:showSerName val="0"/>
          <c:showPercent val="0"/>
          <c:showBubbleSize val="0"/>
        </c:dLbls>
        <c:gapWidth val="247"/>
        <c:axId val="1967508672"/>
        <c:axId val="1967507584"/>
      </c:barChart>
      <c:lineChart>
        <c:grouping val="standard"/>
        <c:varyColors val="0"/>
        <c:ser>
          <c:idx val="0"/>
          <c:order val="0"/>
          <c:tx>
            <c:strRef>
              <c:f>'Immatr &amp; Iscr L-33'!$C$64</c:f>
              <c:strCache>
                <c:ptCount val="1"/>
                <c:pt idx="0">
                  <c:v>L-18</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'Immatr &amp; Iscr L-33'!$D$62:$K$62</c:f>
              <c:strCache>
                <c:ptCount val="8"/>
                <c:pt idx="0">
                  <c:v>AA 2010/11</c:v>
                </c:pt>
                <c:pt idx="1">
                  <c:v>AA 2011/12</c:v>
                </c:pt>
                <c:pt idx="2">
                  <c:v>AA 2012/13</c:v>
                </c:pt>
                <c:pt idx="3">
                  <c:v>AA 2013/14</c:v>
                </c:pt>
                <c:pt idx="4">
                  <c:v>AA 2014/15</c:v>
                </c:pt>
                <c:pt idx="5">
                  <c:v>AA 2015/16</c:v>
                </c:pt>
                <c:pt idx="6">
                  <c:v>AA2016/17</c:v>
                </c:pt>
                <c:pt idx="7">
                  <c:v>AA 2017/18</c:v>
                </c:pt>
              </c:strCache>
            </c:strRef>
          </c:cat>
          <c:val>
            <c:numRef>
              <c:f>'Immatr &amp; Iscr L-33'!$D$64:$K$64</c:f>
              <c:numCache>
                <c:formatCode>0.0%</c:formatCode>
                <c:ptCount val="8"/>
                <c:pt idx="0">
                  <c:v>3.5999999999999997E-2</c:v>
                </c:pt>
                <c:pt idx="1">
                  <c:v>-4.1000000000000002E-2</c:v>
                </c:pt>
                <c:pt idx="2">
                  <c:v>-5.8999999999999997E-2</c:v>
                </c:pt>
                <c:pt idx="3">
                  <c:v>-2.4E-2</c:v>
                </c:pt>
                <c:pt idx="4">
                  <c:v>2.1999999999999999E-2</c:v>
                </c:pt>
                <c:pt idx="5">
                  <c:v>4.2000000000000003E-2</c:v>
                </c:pt>
                <c:pt idx="6">
                  <c:v>6.5000000000000002E-2</c:v>
                </c:pt>
                <c:pt idx="7">
                  <c:v>2.9000000000000001E-2</c:v>
                </c:pt>
              </c:numCache>
            </c:numRef>
          </c:val>
          <c:smooth val="0"/>
          <c:extLst>
            <c:ext xmlns:c16="http://schemas.microsoft.com/office/drawing/2014/chart" uri="{C3380CC4-5D6E-409C-BE32-E72D297353CC}">
              <c16:uniqueId val="{00000005-4993-A049-8066-4F1E3F0242A2}"/>
            </c:ext>
          </c:extLst>
        </c:ser>
        <c:ser>
          <c:idx val="1"/>
          <c:order val="1"/>
          <c:tx>
            <c:strRef>
              <c:f>'Immatr &amp; Iscr L-33'!$C$66</c:f>
              <c:strCache>
                <c:ptCount val="1"/>
                <c:pt idx="0">
                  <c:v>L-33</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'Immatr &amp; Iscr L-33'!$D$62:$K$62</c:f>
              <c:strCache>
                <c:ptCount val="8"/>
                <c:pt idx="0">
                  <c:v>AA 2010/11</c:v>
                </c:pt>
                <c:pt idx="1">
                  <c:v>AA 2011/12</c:v>
                </c:pt>
                <c:pt idx="2">
                  <c:v>AA 2012/13</c:v>
                </c:pt>
                <c:pt idx="3">
                  <c:v>AA 2013/14</c:v>
                </c:pt>
                <c:pt idx="4">
                  <c:v>AA 2014/15</c:v>
                </c:pt>
                <c:pt idx="5">
                  <c:v>AA 2015/16</c:v>
                </c:pt>
                <c:pt idx="6">
                  <c:v>AA2016/17</c:v>
                </c:pt>
                <c:pt idx="7">
                  <c:v>AA 2017/18</c:v>
                </c:pt>
              </c:strCache>
            </c:strRef>
          </c:cat>
          <c:val>
            <c:numRef>
              <c:f>'Immatr &amp; Iscr L-33'!$D$66:$K$66</c:f>
              <c:numCache>
                <c:formatCode>General</c:formatCode>
                <c:ptCount val="8"/>
                <c:pt idx="2" formatCode="0.0%">
                  <c:v>-6.9424899146261376E-2</c:v>
                </c:pt>
                <c:pt idx="3" formatCode="0.0%">
                  <c:v>3.0144167758846659E-2</c:v>
                </c:pt>
                <c:pt idx="4" formatCode="0.0%">
                  <c:v>-5.8524173027989825E-2</c:v>
                </c:pt>
                <c:pt idx="5" formatCode="0.0%">
                  <c:v>2.2245322245322247E-2</c:v>
                </c:pt>
                <c:pt idx="6" formatCode="0.0%">
                  <c:v>2.9794590197274762E-2</c:v>
                </c:pt>
                <c:pt idx="7" formatCode="0.0%">
                  <c:v>5.5198973042362001E-2</c:v>
                </c:pt>
              </c:numCache>
            </c:numRef>
          </c:val>
          <c:smooth val="0"/>
          <c:extLst>
            <c:ext xmlns:c16="http://schemas.microsoft.com/office/drawing/2014/chart" uri="{C3380CC4-5D6E-409C-BE32-E72D297353CC}">
              <c16:uniqueId val="{00000008-4993-A049-8066-4F1E3F0242A2}"/>
            </c:ext>
          </c:extLst>
        </c:ser>
        <c:dLbls>
          <c:showLegendKey val="0"/>
          <c:showVal val="1"/>
          <c:showCatName val="0"/>
          <c:showSerName val="0"/>
          <c:showPercent val="0"/>
          <c:showBubbleSize val="0"/>
        </c:dLbls>
        <c:marker val="1"/>
        <c:smooth val="0"/>
        <c:axId val="1967538592"/>
        <c:axId val="1967535328"/>
      </c:lineChart>
      <c:valAx>
        <c:axId val="1967535328"/>
        <c:scaling>
          <c:orientation val="minMax"/>
        </c:scaling>
        <c:delete val="0"/>
        <c:axPos val="r"/>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1967538592"/>
        <c:crosses val="max"/>
        <c:crossBetween val="between"/>
      </c:valAx>
      <c:catAx>
        <c:axId val="19675385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it-IT"/>
          </a:p>
        </c:txPr>
        <c:crossAx val="1967535328"/>
        <c:crosses val="autoZero"/>
        <c:auto val="1"/>
        <c:lblAlgn val="ctr"/>
        <c:lblOffset val="100"/>
        <c:noMultiLvlLbl val="0"/>
      </c:catAx>
      <c:valAx>
        <c:axId val="1967507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1967508672"/>
        <c:crosses val="autoZero"/>
        <c:crossBetween val="between"/>
      </c:valAx>
      <c:catAx>
        <c:axId val="1967508672"/>
        <c:scaling>
          <c:orientation val="minMax"/>
        </c:scaling>
        <c:delete val="1"/>
        <c:axPos val="b"/>
        <c:majorTickMark val="none"/>
        <c:minorTickMark val="none"/>
        <c:tickLblPos val="nextTo"/>
        <c:crossAx val="1967507584"/>
        <c:crosses val="autoZero"/>
        <c:auto val="1"/>
        <c:lblAlgn val="ctr"/>
        <c:lblOffset val="100"/>
        <c:noMultiLvlLbl val="0"/>
      </c:catAx>
      <c:spPr>
        <a:noFill/>
        <a:ln>
          <a:noFill/>
        </a:ln>
        <a:effectLst/>
      </c:spPr>
    </c:plotArea>
    <c:legend>
      <c:legendPos val="t"/>
      <c:layout>
        <c:manualLayout>
          <c:xMode val="edge"/>
          <c:yMode val="edge"/>
          <c:x val="0.33997854017869217"/>
          <c:y val="7.9910964209767274E-2"/>
          <c:w val="0.22572820884599287"/>
          <c:h val="6.6149889001652973E-2"/>
        </c:manualLayout>
      </c:layout>
      <c:overlay val="0"/>
      <c:spPr>
        <a:noFill/>
        <a:ln w="15875">
          <a:solidFill>
            <a:schemeClr val="accent1">
              <a:lumMod val="60000"/>
              <a:lumOff val="40000"/>
            </a:schemeClr>
          </a:solid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95000"/>
                    <a:lumOff val="5000"/>
                  </a:schemeClr>
                </a:solidFill>
                <a:latin typeface="+mn-lt"/>
                <a:ea typeface="+mn-ea"/>
                <a:cs typeface="+mn-cs"/>
              </a:defRPr>
            </a:pPr>
            <a:r>
              <a:rPr lang="en-GB">
                <a:solidFill>
                  <a:schemeClr val="tx1">
                    <a:lumMod val="95000"/>
                    <a:lumOff val="5000"/>
                  </a:schemeClr>
                </a:solidFill>
              </a:rPr>
              <a:t>Andamento Iscritti a Classi di Laurea L-33:</a:t>
            </a:r>
          </a:p>
          <a:p>
            <a:pPr>
              <a:defRPr>
                <a:solidFill>
                  <a:schemeClr val="tx1">
                    <a:lumMod val="95000"/>
                    <a:lumOff val="5000"/>
                  </a:schemeClr>
                </a:solidFill>
              </a:defRPr>
            </a:pPr>
            <a:r>
              <a:rPr lang="en-GB">
                <a:solidFill>
                  <a:schemeClr val="tx1">
                    <a:lumMod val="95000"/>
                    <a:lumOff val="5000"/>
                  </a:schemeClr>
                </a:solidFill>
              </a:rPr>
              <a:t>totale nazionale e media per area geografica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95000"/>
                  <a:lumOff val="5000"/>
                </a:schemeClr>
              </a:solidFill>
              <a:latin typeface="+mn-lt"/>
              <a:ea typeface="+mn-ea"/>
              <a:cs typeface="+mn-cs"/>
            </a:defRPr>
          </a:pPr>
          <a:endParaRPr lang="it-IT"/>
        </a:p>
      </c:txPr>
    </c:title>
    <c:autoTitleDeleted val="0"/>
    <c:plotArea>
      <c:layout/>
      <c:barChart>
        <c:barDir val="col"/>
        <c:grouping val="clustered"/>
        <c:varyColors val="0"/>
        <c:ser>
          <c:idx val="1"/>
          <c:order val="1"/>
          <c:tx>
            <c:strRef>
              <c:f>'Immatr &amp; Iscr L-33'!$N$54</c:f>
              <c:strCache>
                <c:ptCount val="1"/>
                <c:pt idx="0">
                  <c:v>TOT AREA NORD</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val>
            <c:numRef>
              <c:f>'Immatr &amp; Iscr L-33'!$O$54:$U$54</c:f>
              <c:numCache>
                <c:formatCode>0</c:formatCode>
                <c:ptCount val="7"/>
                <c:pt idx="0">
                  <c:v>13290</c:v>
                </c:pt>
                <c:pt idx="1">
                  <c:v>14944</c:v>
                </c:pt>
                <c:pt idx="2">
                  <c:v>15913</c:v>
                </c:pt>
                <c:pt idx="3">
                  <c:v>15628</c:v>
                </c:pt>
                <c:pt idx="4">
                  <c:v>15590</c:v>
                </c:pt>
                <c:pt idx="5">
                  <c:v>15420</c:v>
                </c:pt>
                <c:pt idx="6">
                  <c:v>16229</c:v>
                </c:pt>
              </c:numCache>
            </c:numRef>
          </c:val>
          <c:extLst>
            <c:ext xmlns:c16="http://schemas.microsoft.com/office/drawing/2014/chart" uri="{C3380CC4-5D6E-409C-BE32-E72D297353CC}">
              <c16:uniqueId val="{00000000-A172-4F35-AA32-27CF72186DAD}"/>
            </c:ext>
          </c:extLst>
        </c:ser>
        <c:ser>
          <c:idx val="2"/>
          <c:order val="2"/>
          <c:tx>
            <c:strRef>
              <c:f>'Immatr &amp; Iscr L-33'!$N$55</c:f>
              <c:strCache>
                <c:ptCount val="1"/>
                <c:pt idx="0">
                  <c:v>TOT AREA CENTRO</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val>
            <c:numRef>
              <c:f>'Immatr &amp; Iscr L-33'!$O$55:$U$55</c:f>
              <c:numCache>
                <c:formatCode>0</c:formatCode>
                <c:ptCount val="7"/>
                <c:pt idx="0">
                  <c:v>9560</c:v>
                </c:pt>
                <c:pt idx="1">
                  <c:v>9937</c:v>
                </c:pt>
                <c:pt idx="2">
                  <c:v>10536</c:v>
                </c:pt>
                <c:pt idx="3">
                  <c:v>10048</c:v>
                </c:pt>
                <c:pt idx="4">
                  <c:v>10331</c:v>
                </c:pt>
                <c:pt idx="5">
                  <c:v>10593</c:v>
                </c:pt>
                <c:pt idx="6">
                  <c:v>10898</c:v>
                </c:pt>
              </c:numCache>
            </c:numRef>
          </c:val>
          <c:extLst>
            <c:ext xmlns:c16="http://schemas.microsoft.com/office/drawing/2014/chart" uri="{C3380CC4-5D6E-409C-BE32-E72D297353CC}">
              <c16:uniqueId val="{00000001-A172-4F35-AA32-27CF72186DAD}"/>
            </c:ext>
          </c:extLst>
        </c:ser>
        <c:ser>
          <c:idx val="3"/>
          <c:order val="3"/>
          <c:tx>
            <c:strRef>
              <c:f>'Immatr &amp; Iscr L-33'!$N$56</c:f>
              <c:strCache>
                <c:ptCount val="1"/>
                <c:pt idx="0">
                  <c:v>TOT AREA SUD E ISOLE</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val>
            <c:numRef>
              <c:f>'Immatr &amp; Iscr L-33'!$O$56:$U$56</c:f>
              <c:numCache>
                <c:formatCode>0</c:formatCode>
                <c:ptCount val="7"/>
                <c:pt idx="0">
                  <c:v>11079</c:v>
                </c:pt>
                <c:pt idx="1">
                  <c:v>12120</c:v>
                </c:pt>
                <c:pt idx="2">
                  <c:v>12745</c:v>
                </c:pt>
                <c:pt idx="3">
                  <c:v>13017</c:v>
                </c:pt>
                <c:pt idx="4">
                  <c:v>12683</c:v>
                </c:pt>
                <c:pt idx="5">
                  <c:v>12658</c:v>
                </c:pt>
                <c:pt idx="6">
                  <c:v>12340</c:v>
                </c:pt>
              </c:numCache>
            </c:numRef>
          </c:val>
          <c:extLst>
            <c:ext xmlns:c16="http://schemas.microsoft.com/office/drawing/2014/chart" uri="{C3380CC4-5D6E-409C-BE32-E72D297353CC}">
              <c16:uniqueId val="{00000002-A172-4F35-AA32-27CF72186DAD}"/>
            </c:ext>
          </c:extLst>
        </c:ser>
        <c:dLbls>
          <c:showLegendKey val="0"/>
          <c:showVal val="0"/>
          <c:showCatName val="0"/>
          <c:showSerName val="0"/>
          <c:showPercent val="0"/>
          <c:showBubbleSize val="0"/>
        </c:dLbls>
        <c:gapWidth val="75"/>
        <c:axId val="1970354288"/>
        <c:axId val="1551628720"/>
      </c:barChart>
      <c:lineChart>
        <c:grouping val="standard"/>
        <c:varyColors val="0"/>
        <c:ser>
          <c:idx val="0"/>
          <c:order val="0"/>
          <c:tx>
            <c:strRef>
              <c:f>'Immatr &amp; Iscr L-33'!$N$52</c:f>
              <c:strCache>
                <c:ptCount val="1"/>
                <c:pt idx="0">
                  <c:v>TOTALE</c:v>
                </c:pt>
              </c:strCache>
            </c:strRef>
          </c:tx>
          <c:spPr>
            <a:ln w="15875" cap="rnd">
              <a:solidFill>
                <a:schemeClr val="accent6">
                  <a:lumMod val="50000"/>
                </a:schemeClr>
              </a:solidFill>
              <a:round/>
            </a:ln>
            <a:effectLst/>
          </c:spPr>
          <c:marker>
            <c:symbol val="none"/>
          </c:marker>
          <c:cat>
            <c:strRef>
              <c:f>'Immatr &amp; Iscr L-33'!$N$57:$T$57</c:f>
              <c:strCache>
                <c:ptCount val="7"/>
                <c:pt idx="0">
                  <c:v>2011/12</c:v>
                </c:pt>
                <c:pt idx="1">
                  <c:v>2012/13</c:v>
                </c:pt>
                <c:pt idx="2">
                  <c:v>2013/14</c:v>
                </c:pt>
                <c:pt idx="3">
                  <c:v>2014/15</c:v>
                </c:pt>
                <c:pt idx="4">
                  <c:v>2015/16</c:v>
                </c:pt>
                <c:pt idx="5">
                  <c:v>2016/17</c:v>
                </c:pt>
                <c:pt idx="6">
                  <c:v>2017/18</c:v>
                </c:pt>
              </c:strCache>
            </c:strRef>
          </c:cat>
          <c:val>
            <c:numRef>
              <c:f>'Immatr &amp; Iscr L-33'!$O$52:$U$52</c:f>
              <c:numCache>
                <c:formatCode>0</c:formatCode>
                <c:ptCount val="7"/>
                <c:pt idx="0">
                  <c:v>33929</c:v>
                </c:pt>
                <c:pt idx="1">
                  <c:v>37001</c:v>
                </c:pt>
                <c:pt idx="2">
                  <c:v>39194</c:v>
                </c:pt>
                <c:pt idx="3">
                  <c:v>38693</c:v>
                </c:pt>
                <c:pt idx="4">
                  <c:v>38702</c:v>
                </c:pt>
                <c:pt idx="5">
                  <c:v>38873</c:v>
                </c:pt>
                <c:pt idx="6">
                  <c:v>39748</c:v>
                </c:pt>
              </c:numCache>
            </c:numRef>
          </c:val>
          <c:smooth val="0"/>
          <c:extLst>
            <c:ext xmlns:c16="http://schemas.microsoft.com/office/drawing/2014/chart" uri="{C3380CC4-5D6E-409C-BE32-E72D297353CC}">
              <c16:uniqueId val="{00000003-A172-4F35-AA32-27CF72186DAD}"/>
            </c:ext>
          </c:extLst>
        </c:ser>
        <c:dLbls>
          <c:showLegendKey val="0"/>
          <c:showVal val="0"/>
          <c:showCatName val="0"/>
          <c:showSerName val="0"/>
          <c:showPercent val="0"/>
          <c:showBubbleSize val="0"/>
        </c:dLbls>
        <c:marker val="1"/>
        <c:smooth val="0"/>
        <c:axId val="1967044992"/>
        <c:axId val="1967053696"/>
      </c:lineChart>
      <c:catAx>
        <c:axId val="1967044992"/>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95000"/>
                        <a:lumOff val="5000"/>
                      </a:schemeClr>
                    </a:solidFill>
                    <a:latin typeface="+mn-lt"/>
                    <a:ea typeface="+mn-ea"/>
                    <a:cs typeface="+mn-cs"/>
                  </a:defRPr>
                </a:pPr>
                <a:r>
                  <a:rPr lang="en-GB">
                    <a:solidFill>
                      <a:schemeClr val="tx1">
                        <a:lumMod val="95000"/>
                        <a:lumOff val="5000"/>
                      </a:schemeClr>
                    </a:solidFill>
                  </a:rPr>
                  <a:t>anno</a:t>
                </a:r>
                <a:r>
                  <a:rPr lang="en-GB" baseline="0">
                    <a:solidFill>
                      <a:schemeClr val="tx1">
                        <a:lumMod val="95000"/>
                        <a:lumOff val="5000"/>
                      </a:schemeClr>
                    </a:solidFill>
                  </a:rPr>
                  <a:t> accademico</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95000"/>
                      <a:lumOff val="5000"/>
                    </a:schemeClr>
                  </a:solidFill>
                  <a:latin typeface="+mn-lt"/>
                  <a:ea typeface="+mn-ea"/>
                  <a:cs typeface="+mn-cs"/>
                </a:defRPr>
              </a:pPr>
              <a:endParaRPr lang="it-IT"/>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1967053696"/>
        <c:crosses val="autoZero"/>
        <c:auto val="1"/>
        <c:lblAlgn val="ctr"/>
        <c:lblOffset val="100"/>
        <c:noMultiLvlLbl val="0"/>
      </c:catAx>
      <c:valAx>
        <c:axId val="1967053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95000"/>
                        <a:lumOff val="5000"/>
                      </a:schemeClr>
                    </a:solidFill>
                    <a:latin typeface="+mn-lt"/>
                    <a:ea typeface="+mn-ea"/>
                    <a:cs typeface="+mn-cs"/>
                  </a:defRPr>
                </a:pPr>
                <a:r>
                  <a:rPr lang="en-GB">
                    <a:solidFill>
                      <a:schemeClr val="tx1">
                        <a:lumMod val="95000"/>
                        <a:lumOff val="5000"/>
                      </a:schemeClr>
                    </a:solidFill>
                  </a:rPr>
                  <a:t>Totale Iscritti (linea )</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95000"/>
                      <a:lumOff val="5000"/>
                    </a:schemeClr>
                  </a:solidFill>
                  <a:latin typeface="+mn-lt"/>
                  <a:ea typeface="+mn-ea"/>
                  <a:cs typeface="+mn-cs"/>
                </a:defRPr>
              </a:pPr>
              <a:endParaRPr lang="it-IT"/>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1967044992"/>
        <c:crosses val="autoZero"/>
        <c:crossBetween val="between"/>
      </c:valAx>
      <c:valAx>
        <c:axId val="1551628720"/>
        <c:scaling>
          <c:orientation val="minMax"/>
        </c:scaling>
        <c:delete val="0"/>
        <c:axPos val="r"/>
        <c:title>
          <c:tx>
            <c:rich>
              <a:bodyPr rot="-5400000" spcFirstLastPara="1" vertOverflow="ellipsis" vert="horz" wrap="square" anchor="ctr" anchorCtr="1"/>
              <a:lstStyle/>
              <a:p>
                <a:pPr>
                  <a:defRPr sz="900" b="0" i="0" u="none" strike="noStrike" kern="1200" cap="all" baseline="0">
                    <a:solidFill>
                      <a:schemeClr val="tx1">
                        <a:lumMod val="95000"/>
                        <a:lumOff val="5000"/>
                      </a:schemeClr>
                    </a:solidFill>
                    <a:latin typeface="+mn-lt"/>
                    <a:ea typeface="+mn-ea"/>
                    <a:cs typeface="+mn-cs"/>
                  </a:defRPr>
                </a:pPr>
                <a:r>
                  <a:rPr lang="en-GB">
                    <a:solidFill>
                      <a:schemeClr val="tx1">
                        <a:lumMod val="95000"/>
                        <a:lumOff val="5000"/>
                      </a:schemeClr>
                    </a:solidFill>
                  </a:rPr>
                  <a:t>totale  per area regionale (barre)</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95000"/>
                      <a:lumOff val="5000"/>
                    </a:schemeClr>
                  </a:solidFill>
                  <a:latin typeface="+mn-lt"/>
                  <a:ea typeface="+mn-ea"/>
                  <a:cs typeface="+mn-cs"/>
                </a:defRPr>
              </a:pPr>
              <a:endParaRPr lang="it-IT"/>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1970354288"/>
        <c:crosses val="max"/>
        <c:crossBetween val="between"/>
      </c:valAx>
      <c:catAx>
        <c:axId val="1970354288"/>
        <c:scaling>
          <c:orientation val="minMax"/>
        </c:scaling>
        <c:delete val="1"/>
        <c:axPos val="b"/>
        <c:majorTickMark val="none"/>
        <c:minorTickMark val="none"/>
        <c:tickLblPos val="nextTo"/>
        <c:crossAx val="15516287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GB"/>
              <a:t>Totale Immatricolati L-18 L-33</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it-IT"/>
        </a:p>
      </c:txPr>
    </c:title>
    <c:autoTitleDeleted val="0"/>
    <c:plotArea>
      <c:layout/>
      <c:barChart>
        <c:barDir val="col"/>
        <c:grouping val="clustered"/>
        <c:varyColors val="0"/>
        <c:ser>
          <c:idx val="0"/>
          <c:order val="0"/>
          <c:tx>
            <c:strRef>
              <c:f>'Immatr &amp; Iscr L-33'!$C$63</c:f>
              <c:strCache>
                <c:ptCount val="1"/>
                <c:pt idx="0">
                  <c:v>L-18</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'Immatr &amp; Iscr L-33'!$D$62:$K$62</c:f>
              <c:strCache>
                <c:ptCount val="8"/>
                <c:pt idx="0">
                  <c:v>AA 2010/11</c:v>
                </c:pt>
                <c:pt idx="1">
                  <c:v>AA 2011/12</c:v>
                </c:pt>
                <c:pt idx="2">
                  <c:v>AA 2012/13</c:v>
                </c:pt>
                <c:pt idx="3">
                  <c:v>AA 2013/14</c:v>
                </c:pt>
                <c:pt idx="4">
                  <c:v>AA 2014/15</c:v>
                </c:pt>
                <c:pt idx="5">
                  <c:v>AA 2015/16</c:v>
                </c:pt>
                <c:pt idx="6">
                  <c:v>AA2016/17</c:v>
                </c:pt>
                <c:pt idx="7">
                  <c:v>AA 2017/18</c:v>
                </c:pt>
              </c:strCache>
            </c:strRef>
          </c:cat>
          <c:val>
            <c:numRef>
              <c:f>'Immatr &amp; Iscr L-33'!$D$63:$K$63</c:f>
              <c:numCache>
                <c:formatCode>General</c:formatCode>
                <c:ptCount val="8"/>
                <c:pt idx="0">
                  <c:v>30481</c:v>
                </c:pt>
                <c:pt idx="1">
                  <c:v>29224</c:v>
                </c:pt>
                <c:pt idx="2">
                  <c:v>27498</c:v>
                </c:pt>
                <c:pt idx="3">
                  <c:v>26842</c:v>
                </c:pt>
                <c:pt idx="4">
                  <c:v>27420</c:v>
                </c:pt>
                <c:pt idx="5">
                  <c:v>28581</c:v>
                </c:pt>
                <c:pt idx="6">
                  <c:v>30438</c:v>
                </c:pt>
                <c:pt idx="7">
                  <c:v>31333</c:v>
                </c:pt>
              </c:numCache>
            </c:numRef>
          </c:val>
          <c:extLst>
            <c:ext xmlns:c16="http://schemas.microsoft.com/office/drawing/2014/chart" uri="{C3380CC4-5D6E-409C-BE32-E72D297353CC}">
              <c16:uniqueId val="{00000000-92AD-493C-B3E1-ABC6861A146A}"/>
            </c:ext>
          </c:extLst>
        </c:ser>
        <c:ser>
          <c:idx val="1"/>
          <c:order val="1"/>
          <c:tx>
            <c:strRef>
              <c:f>'Immatr &amp; Iscr L-33'!$C$65</c:f>
              <c:strCache>
                <c:ptCount val="1"/>
                <c:pt idx="0">
                  <c:v>L-33</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'Immatr &amp; Iscr L-33'!$D$62:$K$62</c:f>
              <c:strCache>
                <c:ptCount val="8"/>
                <c:pt idx="0">
                  <c:v>AA 2010/11</c:v>
                </c:pt>
                <c:pt idx="1">
                  <c:v>AA 2011/12</c:v>
                </c:pt>
                <c:pt idx="2">
                  <c:v>AA 2012/13</c:v>
                </c:pt>
                <c:pt idx="3">
                  <c:v>AA 2013/14</c:v>
                </c:pt>
                <c:pt idx="4">
                  <c:v>AA 2014/15</c:v>
                </c:pt>
                <c:pt idx="5">
                  <c:v>AA 2015/16</c:v>
                </c:pt>
                <c:pt idx="6">
                  <c:v>AA2016/17</c:v>
                </c:pt>
                <c:pt idx="7">
                  <c:v>AA 2017/18</c:v>
                </c:pt>
              </c:strCache>
            </c:strRef>
          </c:cat>
          <c:val>
            <c:numRef>
              <c:f>'Immatr &amp; Iscr L-33'!$D$65:$K$65</c:f>
              <c:numCache>
                <c:formatCode>General</c:formatCode>
                <c:ptCount val="8"/>
                <c:pt idx="1">
                  <c:v>10659</c:v>
                </c:pt>
                <c:pt idx="2">
                  <c:v>9919</c:v>
                </c:pt>
                <c:pt idx="3">
                  <c:v>10218</c:v>
                </c:pt>
                <c:pt idx="4">
                  <c:v>9620</c:v>
                </c:pt>
                <c:pt idx="5">
                  <c:v>9834</c:v>
                </c:pt>
                <c:pt idx="6">
                  <c:v>10127</c:v>
                </c:pt>
                <c:pt idx="7" formatCode="0">
                  <c:v>10686</c:v>
                </c:pt>
              </c:numCache>
            </c:numRef>
          </c:val>
          <c:extLst>
            <c:ext xmlns:c16="http://schemas.microsoft.com/office/drawing/2014/chart" uri="{C3380CC4-5D6E-409C-BE32-E72D297353CC}">
              <c16:uniqueId val="{00000001-92AD-493C-B3E1-ABC6861A146A}"/>
            </c:ext>
          </c:extLst>
        </c:ser>
        <c:dLbls>
          <c:showLegendKey val="0"/>
          <c:showVal val="0"/>
          <c:showCatName val="0"/>
          <c:showSerName val="0"/>
          <c:showPercent val="0"/>
          <c:showBubbleSize val="0"/>
        </c:dLbls>
        <c:gapWidth val="100"/>
        <c:overlap val="-24"/>
        <c:axId val="1970348304"/>
        <c:axId val="1970362992"/>
      </c:barChart>
      <c:catAx>
        <c:axId val="197034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it-IT"/>
          </a:p>
        </c:txPr>
        <c:crossAx val="1970362992"/>
        <c:crosses val="autoZero"/>
        <c:auto val="1"/>
        <c:lblAlgn val="ctr"/>
        <c:lblOffset val="100"/>
        <c:noMultiLvlLbl val="0"/>
      </c:catAx>
      <c:valAx>
        <c:axId val="1970362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it-IT"/>
          </a:p>
        </c:txPr>
        <c:crossAx val="1970348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95000"/>
                    <a:lumOff val="5000"/>
                  </a:schemeClr>
                </a:solidFill>
                <a:latin typeface="+mn-lt"/>
                <a:ea typeface="+mn-ea"/>
                <a:cs typeface="+mn-cs"/>
              </a:defRPr>
            </a:pPr>
            <a:r>
              <a:rPr lang="en-US">
                <a:solidFill>
                  <a:schemeClr val="tx1">
                    <a:lumMod val="95000"/>
                    <a:lumOff val="5000"/>
                  </a:schemeClr>
                </a:solidFill>
              </a:rPr>
              <a:t>Andamento Laureati a CDLM classe LM-56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95000"/>
                  <a:lumOff val="5000"/>
                </a:schemeClr>
              </a:solidFill>
              <a:latin typeface="+mn-lt"/>
              <a:ea typeface="+mn-ea"/>
              <a:cs typeface="+mn-cs"/>
            </a:defRPr>
          </a:pPr>
          <a:endParaRPr lang="it-IT"/>
        </a:p>
      </c:txPr>
    </c:title>
    <c:autoTitleDeleted val="0"/>
    <c:plotArea>
      <c:layout/>
      <c:barChart>
        <c:barDir val="col"/>
        <c:grouping val="clustered"/>
        <c:varyColors val="0"/>
        <c:ser>
          <c:idx val="2"/>
          <c:order val="2"/>
          <c:tx>
            <c:strRef>
              <c:f>'Laureati LM-56 AlmaLaurea'!$K$5</c:f>
              <c:strCache>
                <c:ptCount val="1"/>
                <c:pt idx="0">
                  <c:v>AREA NORD, tot</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'Laureati LM-56 AlmaLaurea'!$L$2:$Q$2</c:f>
              <c:strCache>
                <c:ptCount val="6"/>
                <c:pt idx="0">
                  <c:v>AA 2011/12</c:v>
                </c:pt>
                <c:pt idx="1">
                  <c:v>AA 2012/13</c:v>
                </c:pt>
                <c:pt idx="2">
                  <c:v>AA 2013/14</c:v>
                </c:pt>
                <c:pt idx="3">
                  <c:v>AA2014/15</c:v>
                </c:pt>
                <c:pt idx="4">
                  <c:v>AA 2015/16</c:v>
                </c:pt>
                <c:pt idx="5">
                  <c:v>AA 2016/17</c:v>
                </c:pt>
              </c:strCache>
            </c:strRef>
          </c:cat>
          <c:val>
            <c:numRef>
              <c:f>'Laureati LM-56 AlmaLaurea'!$L$5:$Q$5</c:f>
              <c:numCache>
                <c:formatCode>General</c:formatCode>
                <c:ptCount val="6"/>
                <c:pt idx="0">
                  <c:v>1092</c:v>
                </c:pt>
                <c:pt idx="1">
                  <c:v>1249</c:v>
                </c:pt>
                <c:pt idx="2">
                  <c:v>1307</c:v>
                </c:pt>
                <c:pt idx="3">
                  <c:v>1127</c:v>
                </c:pt>
                <c:pt idx="4">
                  <c:v>1354</c:v>
                </c:pt>
                <c:pt idx="5">
                  <c:v>1277</c:v>
                </c:pt>
              </c:numCache>
            </c:numRef>
          </c:val>
          <c:extLst>
            <c:ext xmlns:c16="http://schemas.microsoft.com/office/drawing/2014/chart" uri="{C3380CC4-5D6E-409C-BE32-E72D297353CC}">
              <c16:uniqueId val="{00000002-65BA-49C0-8F7E-E3B76678DBE0}"/>
            </c:ext>
          </c:extLst>
        </c:ser>
        <c:ser>
          <c:idx val="3"/>
          <c:order val="3"/>
          <c:tx>
            <c:strRef>
              <c:f>'Laureati LM-56 AlmaLaurea'!$K$6</c:f>
              <c:strCache>
                <c:ptCount val="1"/>
                <c:pt idx="0">
                  <c:v>AREA CENTRO, tot</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'Laureati LM-56 AlmaLaurea'!$L$2:$Q$2</c:f>
              <c:strCache>
                <c:ptCount val="6"/>
                <c:pt idx="0">
                  <c:v>AA 2011/12</c:v>
                </c:pt>
                <c:pt idx="1">
                  <c:v>AA 2012/13</c:v>
                </c:pt>
                <c:pt idx="2">
                  <c:v>AA 2013/14</c:v>
                </c:pt>
                <c:pt idx="3">
                  <c:v>AA2014/15</c:v>
                </c:pt>
                <c:pt idx="4">
                  <c:v>AA 2015/16</c:v>
                </c:pt>
                <c:pt idx="5">
                  <c:v>AA 2016/17</c:v>
                </c:pt>
              </c:strCache>
            </c:strRef>
          </c:cat>
          <c:val>
            <c:numRef>
              <c:f>'Laureati LM-56 AlmaLaurea'!$L$6:$Q$6</c:f>
              <c:numCache>
                <c:formatCode>General</c:formatCode>
                <c:ptCount val="6"/>
                <c:pt idx="0">
                  <c:v>693</c:v>
                </c:pt>
                <c:pt idx="1">
                  <c:v>926</c:v>
                </c:pt>
                <c:pt idx="2">
                  <c:v>1005</c:v>
                </c:pt>
                <c:pt idx="3">
                  <c:v>1135</c:v>
                </c:pt>
                <c:pt idx="4">
                  <c:v>1290</c:v>
                </c:pt>
                <c:pt idx="5">
                  <c:v>1694</c:v>
                </c:pt>
              </c:numCache>
            </c:numRef>
          </c:val>
          <c:extLst>
            <c:ext xmlns:c16="http://schemas.microsoft.com/office/drawing/2014/chart" uri="{C3380CC4-5D6E-409C-BE32-E72D297353CC}">
              <c16:uniqueId val="{00000003-65BA-49C0-8F7E-E3B76678DBE0}"/>
            </c:ext>
          </c:extLst>
        </c:ser>
        <c:ser>
          <c:idx val="4"/>
          <c:order val="4"/>
          <c:tx>
            <c:strRef>
              <c:f>'Laureati LM-56 AlmaLaurea'!$K$7</c:f>
              <c:strCache>
                <c:ptCount val="1"/>
                <c:pt idx="0">
                  <c:v>AREA SUD, tot </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'Laureati LM-56 AlmaLaurea'!$L$2:$Q$2</c:f>
              <c:strCache>
                <c:ptCount val="6"/>
                <c:pt idx="0">
                  <c:v>AA 2011/12</c:v>
                </c:pt>
                <c:pt idx="1">
                  <c:v>AA 2012/13</c:v>
                </c:pt>
                <c:pt idx="2">
                  <c:v>AA 2013/14</c:v>
                </c:pt>
                <c:pt idx="3">
                  <c:v>AA2014/15</c:v>
                </c:pt>
                <c:pt idx="4">
                  <c:v>AA 2015/16</c:v>
                </c:pt>
                <c:pt idx="5">
                  <c:v>AA 2016/17</c:v>
                </c:pt>
              </c:strCache>
            </c:strRef>
          </c:cat>
          <c:val>
            <c:numRef>
              <c:f>'Laureati LM-56 AlmaLaurea'!$L$7:$Q$7</c:f>
              <c:numCache>
                <c:formatCode>General</c:formatCode>
                <c:ptCount val="6"/>
                <c:pt idx="0">
                  <c:v>653</c:v>
                </c:pt>
                <c:pt idx="1">
                  <c:v>824</c:v>
                </c:pt>
                <c:pt idx="2">
                  <c:v>863</c:v>
                </c:pt>
                <c:pt idx="3">
                  <c:v>907</c:v>
                </c:pt>
                <c:pt idx="4">
                  <c:v>882</c:v>
                </c:pt>
                <c:pt idx="5">
                  <c:v>710</c:v>
                </c:pt>
              </c:numCache>
            </c:numRef>
          </c:val>
          <c:extLst>
            <c:ext xmlns:c16="http://schemas.microsoft.com/office/drawing/2014/chart" uri="{C3380CC4-5D6E-409C-BE32-E72D297353CC}">
              <c16:uniqueId val="{00000004-65BA-49C0-8F7E-E3B76678DBE0}"/>
            </c:ext>
          </c:extLst>
        </c:ser>
        <c:dLbls>
          <c:showLegendKey val="0"/>
          <c:showVal val="0"/>
          <c:showCatName val="0"/>
          <c:showSerName val="0"/>
          <c:showPercent val="0"/>
          <c:showBubbleSize val="0"/>
        </c:dLbls>
        <c:gapWidth val="219"/>
        <c:overlap val="-27"/>
        <c:axId val="92816888"/>
        <c:axId val="92817208"/>
        <c:extLst>
          <c:ext xmlns:c15="http://schemas.microsoft.com/office/drawing/2012/chart" uri="{02D57815-91ED-43cb-92C2-25804820EDAC}">
            <c15:filteredBarSeries>
              <c15:ser>
                <c:idx val="1"/>
                <c:order val="1"/>
                <c:tx>
                  <c:strRef>
                    <c:extLst>
                      <c:ext uri="{02D57815-91ED-43cb-92C2-25804820EDAC}">
                        <c15:formulaRef>
                          <c15:sqref>'Laureati LM-56 AlmaLaurea'!$K$4</c15:sqref>
                        </c15:formulaRef>
                      </c:ext>
                    </c:extLst>
                    <c:strCache>
                      <c:ptCount val="1"/>
                      <c:pt idx="0">
                        <c:v>MEDIA</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c:ext uri="{02D57815-91ED-43cb-92C2-25804820EDAC}">
                        <c15:formulaRef>
                          <c15:sqref>'Laureati LM-56 AlmaLaurea'!$L$2:$Q$2</c15:sqref>
                        </c15:formulaRef>
                      </c:ext>
                    </c:extLst>
                    <c:strCache>
                      <c:ptCount val="6"/>
                      <c:pt idx="0">
                        <c:v>AA 2011/12</c:v>
                      </c:pt>
                      <c:pt idx="1">
                        <c:v>AA 2012/13</c:v>
                      </c:pt>
                      <c:pt idx="2">
                        <c:v>AA 2013/14</c:v>
                      </c:pt>
                      <c:pt idx="3">
                        <c:v>AA2014/15</c:v>
                      </c:pt>
                      <c:pt idx="4">
                        <c:v>AA 2015/16</c:v>
                      </c:pt>
                      <c:pt idx="5">
                        <c:v>AA 2016/17</c:v>
                      </c:pt>
                    </c:strCache>
                  </c:strRef>
                </c:cat>
                <c:val>
                  <c:numRef>
                    <c:extLst>
                      <c:ext uri="{02D57815-91ED-43cb-92C2-25804820EDAC}">
                        <c15:formulaRef>
                          <c15:sqref>'Laureati LM-56 AlmaLaurea'!$L$4:$Q$4</c15:sqref>
                        </c15:formulaRef>
                      </c:ext>
                    </c:extLst>
                    <c:numCache>
                      <c:formatCode>0.00</c:formatCode>
                      <c:ptCount val="6"/>
                      <c:pt idx="0">
                        <c:v>55.409090909090907</c:v>
                      </c:pt>
                      <c:pt idx="1">
                        <c:v>66.644444444444446</c:v>
                      </c:pt>
                      <c:pt idx="2">
                        <c:v>70.555555555555557</c:v>
                      </c:pt>
                      <c:pt idx="3">
                        <c:v>68.891304347826093</c:v>
                      </c:pt>
                      <c:pt idx="4">
                        <c:v>73.458333333333329</c:v>
                      </c:pt>
                      <c:pt idx="5">
                        <c:v>73.62</c:v>
                      </c:pt>
                    </c:numCache>
                  </c:numRef>
                </c:val>
                <c:extLst>
                  <c:ext xmlns:c16="http://schemas.microsoft.com/office/drawing/2014/chart" uri="{C3380CC4-5D6E-409C-BE32-E72D297353CC}">
                    <c16:uniqueId val="{00000001-65BA-49C0-8F7E-E3B76678DBE0}"/>
                  </c:ext>
                </c:extLst>
              </c15:ser>
            </c15:filteredBarSeries>
          </c:ext>
        </c:extLst>
      </c:barChart>
      <c:lineChart>
        <c:grouping val="standard"/>
        <c:varyColors val="0"/>
        <c:ser>
          <c:idx val="0"/>
          <c:order val="0"/>
          <c:tx>
            <c:strRef>
              <c:f>'Laureati LM-56 AlmaLaurea'!$K$3</c:f>
              <c:strCache>
                <c:ptCount val="1"/>
                <c:pt idx="0">
                  <c:v>Totale</c:v>
                </c:pt>
              </c:strCache>
            </c:strRef>
          </c:tx>
          <c:spPr>
            <a:ln w="15875" cap="rnd">
              <a:solidFill>
                <a:schemeClr val="accent1"/>
              </a:solidFill>
              <a:round/>
            </a:ln>
            <a:effectLst/>
          </c:spPr>
          <c:marker>
            <c:symbol val="none"/>
          </c:marker>
          <c:cat>
            <c:strRef>
              <c:f>'Laureati LM-56 AlmaLaurea'!$L$2:$Q$2</c:f>
              <c:strCache>
                <c:ptCount val="6"/>
                <c:pt idx="0">
                  <c:v>AA 2011/12</c:v>
                </c:pt>
                <c:pt idx="1">
                  <c:v>AA 2012/13</c:v>
                </c:pt>
                <c:pt idx="2">
                  <c:v>AA 2013/14</c:v>
                </c:pt>
                <c:pt idx="3">
                  <c:v>AA2014/15</c:v>
                </c:pt>
                <c:pt idx="4">
                  <c:v>AA 2015/16</c:v>
                </c:pt>
                <c:pt idx="5">
                  <c:v>AA 2016/17</c:v>
                </c:pt>
              </c:strCache>
            </c:strRef>
          </c:cat>
          <c:val>
            <c:numRef>
              <c:f>'Laureati LM-56 AlmaLaurea'!$L$3:$Q$3</c:f>
              <c:numCache>
                <c:formatCode>General</c:formatCode>
                <c:ptCount val="6"/>
                <c:pt idx="0">
                  <c:v>2438</c:v>
                </c:pt>
                <c:pt idx="1">
                  <c:v>2999</c:v>
                </c:pt>
                <c:pt idx="2">
                  <c:v>3175</c:v>
                </c:pt>
                <c:pt idx="3">
                  <c:v>3154</c:v>
                </c:pt>
                <c:pt idx="4">
                  <c:v>3503</c:v>
                </c:pt>
                <c:pt idx="5">
                  <c:v>3634</c:v>
                </c:pt>
              </c:numCache>
            </c:numRef>
          </c:val>
          <c:smooth val="0"/>
          <c:extLst>
            <c:ext xmlns:c16="http://schemas.microsoft.com/office/drawing/2014/chart" uri="{C3380CC4-5D6E-409C-BE32-E72D297353CC}">
              <c16:uniqueId val="{00000000-65BA-49C0-8F7E-E3B76678DBE0}"/>
            </c:ext>
          </c:extLst>
        </c:ser>
        <c:dLbls>
          <c:showLegendKey val="0"/>
          <c:showVal val="0"/>
          <c:showCatName val="0"/>
          <c:showSerName val="0"/>
          <c:showPercent val="0"/>
          <c:showBubbleSize val="0"/>
        </c:dLbls>
        <c:marker val="1"/>
        <c:smooth val="0"/>
        <c:axId val="465624912"/>
        <c:axId val="465624592"/>
      </c:lineChart>
      <c:catAx>
        <c:axId val="92816888"/>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solidFill>
                    <a:latin typeface="+mn-lt"/>
                    <a:ea typeface="+mn-ea"/>
                    <a:cs typeface="+mn-cs"/>
                  </a:defRPr>
                </a:pPr>
                <a:r>
                  <a:rPr lang="en-US">
                    <a:solidFill>
                      <a:schemeClr val="tx1"/>
                    </a:solidFill>
                  </a:rPr>
                  <a:t>Anno accademico di riferimento</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solidFill>
                  <a:latin typeface="+mn-lt"/>
                  <a:ea typeface="+mn-ea"/>
                  <a:cs typeface="+mn-cs"/>
                </a:defRPr>
              </a:pPr>
              <a:endParaRPr lang="it-IT"/>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it-IT"/>
          </a:p>
        </c:txPr>
        <c:crossAx val="92817208"/>
        <c:crosses val="autoZero"/>
        <c:auto val="1"/>
        <c:lblAlgn val="ctr"/>
        <c:lblOffset val="100"/>
        <c:noMultiLvlLbl val="0"/>
      </c:catAx>
      <c:valAx>
        <c:axId val="92817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95000"/>
                        <a:lumOff val="5000"/>
                      </a:schemeClr>
                    </a:solidFill>
                    <a:latin typeface="+mn-lt"/>
                    <a:ea typeface="+mn-ea"/>
                    <a:cs typeface="+mn-cs"/>
                  </a:defRPr>
                </a:pPr>
                <a:r>
                  <a:rPr lang="en-US">
                    <a:solidFill>
                      <a:schemeClr val="tx1">
                        <a:lumMod val="95000"/>
                        <a:lumOff val="5000"/>
                      </a:schemeClr>
                    </a:solidFill>
                  </a:rPr>
                  <a:t>Totali per area geografica</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95000"/>
                      <a:lumOff val="5000"/>
                    </a:schemeClr>
                  </a:solidFill>
                  <a:latin typeface="+mn-lt"/>
                  <a:ea typeface="+mn-ea"/>
                  <a:cs typeface="+mn-cs"/>
                </a:defRPr>
              </a:pPr>
              <a:endParaRPr lang="it-I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it-IT"/>
          </a:p>
        </c:txPr>
        <c:crossAx val="92816888"/>
        <c:crosses val="autoZero"/>
        <c:crossBetween val="between"/>
      </c:valAx>
      <c:valAx>
        <c:axId val="465624592"/>
        <c:scaling>
          <c:orientation val="minMax"/>
        </c:scaling>
        <c:delete val="0"/>
        <c:axPos val="r"/>
        <c:title>
          <c:tx>
            <c:rich>
              <a:bodyPr rot="-5400000" spcFirstLastPara="1" vertOverflow="ellipsis" vert="horz" wrap="square" anchor="ctr" anchorCtr="1"/>
              <a:lstStyle/>
              <a:p>
                <a:pPr>
                  <a:defRPr sz="900" b="0" i="0" u="none" strike="noStrike" kern="1200" cap="all" baseline="0">
                    <a:solidFill>
                      <a:schemeClr val="tx1">
                        <a:lumMod val="95000"/>
                        <a:lumOff val="5000"/>
                      </a:schemeClr>
                    </a:solidFill>
                    <a:latin typeface="+mn-lt"/>
                    <a:ea typeface="+mn-ea"/>
                    <a:cs typeface="+mn-cs"/>
                  </a:defRPr>
                </a:pPr>
                <a:r>
                  <a:rPr lang="it-IT">
                    <a:solidFill>
                      <a:schemeClr val="tx1">
                        <a:lumMod val="95000"/>
                        <a:lumOff val="5000"/>
                      </a:schemeClr>
                    </a:solidFill>
                  </a:rPr>
                  <a:t>Totali</a:t>
                </a:r>
                <a:r>
                  <a:rPr lang="it-IT" baseline="0">
                    <a:solidFill>
                      <a:schemeClr val="tx1">
                        <a:lumMod val="95000"/>
                        <a:lumOff val="5000"/>
                      </a:schemeClr>
                    </a:solidFill>
                  </a:rPr>
                  <a:t> nazionali</a:t>
                </a:r>
                <a:endParaRPr lang="it-IT">
                  <a:solidFill>
                    <a:schemeClr val="tx1">
                      <a:lumMod val="95000"/>
                      <a:lumOff val="5000"/>
                    </a:schemeClr>
                  </a:solidFill>
                </a:endParaRP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95000"/>
                      <a:lumOff val="5000"/>
                    </a:schemeClr>
                  </a:solidFill>
                  <a:latin typeface="+mn-lt"/>
                  <a:ea typeface="+mn-ea"/>
                  <a:cs typeface="+mn-cs"/>
                </a:defRPr>
              </a:pPr>
              <a:endParaRPr lang="it-I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it-IT"/>
          </a:p>
        </c:txPr>
        <c:crossAx val="465624912"/>
        <c:crosses val="max"/>
        <c:crossBetween val="between"/>
      </c:valAx>
      <c:catAx>
        <c:axId val="465624912"/>
        <c:scaling>
          <c:orientation val="minMax"/>
        </c:scaling>
        <c:delete val="1"/>
        <c:axPos val="b"/>
        <c:numFmt formatCode="General" sourceLinked="1"/>
        <c:majorTickMark val="none"/>
        <c:minorTickMark val="none"/>
        <c:tickLblPos val="nextTo"/>
        <c:crossAx val="4656245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17</xdr:col>
      <xdr:colOff>787400</xdr:colOff>
      <xdr:row>6</xdr:row>
      <xdr:rowOff>120650</xdr:rowOff>
    </xdr:from>
    <xdr:to>
      <xdr:col>23</xdr:col>
      <xdr:colOff>406400</xdr:colOff>
      <xdr:row>26</xdr:row>
      <xdr:rowOff>76200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267555</xdr:colOff>
      <xdr:row>68</xdr:row>
      <xdr:rowOff>138078</xdr:rowOff>
    </xdr:from>
    <xdr:to>
      <xdr:col>17</xdr:col>
      <xdr:colOff>222250</xdr:colOff>
      <xdr:row>98</xdr:row>
      <xdr:rowOff>179916</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144196</xdr:colOff>
      <xdr:row>27</xdr:row>
      <xdr:rowOff>87048</xdr:rowOff>
    </xdr:from>
    <xdr:to>
      <xdr:col>34</xdr:col>
      <xdr:colOff>709084</xdr:colOff>
      <xdr:row>59</xdr:row>
      <xdr:rowOff>31750</xdr:rowOff>
    </xdr:to>
    <xdr:graphicFrame macro="">
      <xdr:nvGraphicFramePr>
        <xdr:cNvPr id="4" name="Gra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416719</xdr:colOff>
      <xdr:row>100</xdr:row>
      <xdr:rowOff>158352</xdr:rowOff>
    </xdr:from>
    <xdr:to>
      <xdr:col>4</xdr:col>
      <xdr:colOff>750094</xdr:colOff>
      <xdr:row>124</xdr:row>
      <xdr:rowOff>166687</xdr:rowOff>
    </xdr:to>
    <xdr:graphicFrame macro="">
      <xdr:nvGraphicFramePr>
        <xdr:cNvPr id="5" name="Grafico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394606</xdr:colOff>
      <xdr:row>9</xdr:row>
      <xdr:rowOff>107043</xdr:rowOff>
    </xdr:from>
    <xdr:to>
      <xdr:col>22</xdr:col>
      <xdr:colOff>330200</xdr:colOff>
      <xdr:row>38</xdr:row>
      <xdr:rowOff>12701</xdr:rowOff>
    </xdr:to>
    <xdr:graphicFrame macro="">
      <xdr:nvGraphicFramePr>
        <xdr:cNvPr id="2" name="Grafico 1">
          <a:extLst>
            <a:ext uri="{FF2B5EF4-FFF2-40B4-BE49-F238E27FC236}">
              <a16:creationId xmlns:a16="http://schemas.microsoft.com/office/drawing/2014/main" id="{D2BA021E-5757-4E27-BFCC-AE7D0A7973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4"/>
  <sheetViews>
    <sheetView workbookViewId="0">
      <selection activeCell="J53" sqref="J53"/>
    </sheetView>
  </sheetViews>
  <sheetFormatPr defaultRowHeight="15.5" x14ac:dyDescent="0.35"/>
  <cols>
    <col min="1" max="1" width="50.75" customWidth="1"/>
    <col min="2" max="2" width="14.83203125" style="13" customWidth="1"/>
    <col min="4" max="4" width="45.83203125" customWidth="1"/>
    <col min="5" max="5" width="12.58203125" customWidth="1"/>
    <col min="8" max="8" width="9.1640625" customWidth="1"/>
  </cols>
  <sheetData>
    <row r="1" spans="1:13" ht="48" customHeight="1" x14ac:dyDescent="0.35">
      <c r="A1" s="91" t="s">
        <v>361</v>
      </c>
      <c r="B1" s="92"/>
      <c r="D1" s="171" t="s">
        <v>370</v>
      </c>
      <c r="E1" s="171"/>
      <c r="F1" s="171"/>
      <c r="G1" s="171"/>
      <c r="J1" s="168" t="s">
        <v>94</v>
      </c>
      <c r="K1" s="168"/>
      <c r="L1" s="168"/>
      <c r="M1" s="168"/>
    </row>
    <row r="2" spans="1:13" x14ac:dyDescent="0.35">
      <c r="A2" s="8" t="s">
        <v>63</v>
      </c>
      <c r="B2" s="28" t="s">
        <v>362</v>
      </c>
      <c r="D2" s="8" t="s">
        <v>63</v>
      </c>
      <c r="E2" s="8" t="s">
        <v>365</v>
      </c>
      <c r="F2" s="8" t="s">
        <v>363</v>
      </c>
      <c r="G2" s="8" t="s">
        <v>364</v>
      </c>
      <c r="H2" s="8" t="s">
        <v>444</v>
      </c>
      <c r="I2" s="8"/>
      <c r="J2" s="169">
        <f>SUM(E8,E4,E5,E6,E7,E9,E12,E13,E14,E15,E16,E17,E18,E19,E10,E21,E22,E26,E27,E31,E33,E34,E37,E43,E50,E51,E29,E23,E35,E38,E39,E40,E41,E42,E46,E47,E48,E28)</f>
        <v>33148</v>
      </c>
      <c r="K2" s="169"/>
      <c r="L2" s="169"/>
      <c r="M2" s="169"/>
    </row>
    <row r="3" spans="1:13" x14ac:dyDescent="0.35">
      <c r="A3" s="8" t="s">
        <v>222</v>
      </c>
      <c r="B3" s="9">
        <v>1722322</v>
      </c>
      <c r="D3" s="8" t="s">
        <v>222</v>
      </c>
      <c r="E3" s="8">
        <f>SUM(E4:E51)</f>
        <v>39751</v>
      </c>
      <c r="F3" s="8">
        <f>SUM(F4:F51)</f>
        <v>16558</v>
      </c>
      <c r="G3" s="8">
        <f>SUM(G4:G51)</f>
        <v>23189</v>
      </c>
      <c r="H3" s="17">
        <f>F3/E3</f>
        <v>0.41654298005081636</v>
      </c>
      <c r="J3" s="169" t="s">
        <v>65</v>
      </c>
      <c r="K3" s="169"/>
      <c r="L3" s="169"/>
      <c r="M3" s="169"/>
    </row>
    <row r="4" spans="1:13" x14ac:dyDescent="0.35">
      <c r="A4" t="s">
        <v>341</v>
      </c>
      <c r="B4" s="7">
        <v>100396</v>
      </c>
      <c r="D4" t="s">
        <v>350</v>
      </c>
      <c r="E4">
        <v>2195</v>
      </c>
      <c r="F4">
        <v>1107</v>
      </c>
      <c r="G4">
        <v>1088</v>
      </c>
      <c r="H4" s="60">
        <f t="shared" ref="H4:H48" si="0">F4/E4</f>
        <v>0.50432801822323459</v>
      </c>
      <c r="I4" s="105"/>
      <c r="J4" s="170">
        <f>J2/E3</f>
        <v>0.83389097129631962</v>
      </c>
      <c r="K4" s="170"/>
      <c r="L4" s="170"/>
      <c r="M4" s="170"/>
    </row>
    <row r="5" spans="1:13" x14ac:dyDescent="0.35">
      <c r="A5" t="s">
        <v>320</v>
      </c>
      <c r="B5" s="7">
        <v>81142</v>
      </c>
      <c r="D5" t="s">
        <v>143</v>
      </c>
      <c r="E5">
        <v>1854</v>
      </c>
      <c r="F5">
        <v>721</v>
      </c>
      <c r="G5">
        <v>1133</v>
      </c>
      <c r="H5" s="17">
        <f t="shared" si="0"/>
        <v>0.3888888888888889</v>
      </c>
    </row>
    <row r="6" spans="1:13" x14ac:dyDescent="0.35">
      <c r="A6" t="s">
        <v>333</v>
      </c>
      <c r="B6" s="7">
        <v>76118</v>
      </c>
      <c r="D6" t="s">
        <v>160</v>
      </c>
      <c r="E6">
        <v>1770</v>
      </c>
      <c r="F6">
        <v>732</v>
      </c>
      <c r="G6">
        <v>1038</v>
      </c>
      <c r="H6" s="17">
        <f t="shared" si="0"/>
        <v>0.41355932203389828</v>
      </c>
    </row>
    <row r="7" spans="1:13" x14ac:dyDescent="0.35">
      <c r="A7" t="s">
        <v>143</v>
      </c>
      <c r="B7" s="7">
        <v>72436</v>
      </c>
      <c r="D7" t="s">
        <v>96</v>
      </c>
      <c r="E7">
        <v>1629</v>
      </c>
      <c r="F7">
        <v>729</v>
      </c>
      <c r="G7">
        <v>900</v>
      </c>
      <c r="H7" s="17">
        <f t="shared" si="0"/>
        <v>0.44751381215469616</v>
      </c>
    </row>
    <row r="8" spans="1:13" x14ac:dyDescent="0.35">
      <c r="A8" t="s">
        <v>155</v>
      </c>
      <c r="B8" s="7">
        <v>61707</v>
      </c>
      <c r="D8" t="s">
        <v>317</v>
      </c>
      <c r="E8">
        <v>1546</v>
      </c>
      <c r="F8">
        <v>697</v>
      </c>
      <c r="G8">
        <v>849</v>
      </c>
      <c r="H8" s="17">
        <f t="shared" si="0"/>
        <v>0.45084087968952136</v>
      </c>
    </row>
    <row r="9" spans="1:13" x14ac:dyDescent="0.35">
      <c r="A9" t="s">
        <v>125</v>
      </c>
      <c r="B9" s="7">
        <v>59334</v>
      </c>
      <c r="D9" t="s">
        <v>320</v>
      </c>
      <c r="E9">
        <v>1506</v>
      </c>
      <c r="F9">
        <v>660</v>
      </c>
      <c r="G9">
        <v>846</v>
      </c>
      <c r="H9" s="17">
        <f t="shared" si="0"/>
        <v>0.43824701195219123</v>
      </c>
    </row>
    <row r="10" spans="1:13" x14ac:dyDescent="0.35">
      <c r="A10" t="s">
        <v>110</v>
      </c>
      <c r="B10" s="7">
        <v>52534</v>
      </c>
      <c r="D10" t="s">
        <v>333</v>
      </c>
      <c r="E10">
        <v>1445</v>
      </c>
      <c r="F10">
        <v>634</v>
      </c>
      <c r="G10">
        <v>811</v>
      </c>
      <c r="H10" s="17">
        <f t="shared" si="0"/>
        <v>0.43875432525951558</v>
      </c>
    </row>
    <row r="11" spans="1:13" x14ac:dyDescent="0.35">
      <c r="A11" t="s">
        <v>329</v>
      </c>
      <c r="B11" s="7">
        <v>45509</v>
      </c>
      <c r="D11" t="s">
        <v>158</v>
      </c>
      <c r="E11">
        <v>1375</v>
      </c>
      <c r="F11">
        <v>540</v>
      </c>
      <c r="G11">
        <v>835</v>
      </c>
      <c r="H11" s="17">
        <f t="shared" si="0"/>
        <v>0.3927272727272727</v>
      </c>
    </row>
    <row r="12" spans="1:13" x14ac:dyDescent="0.35">
      <c r="A12" t="s">
        <v>131</v>
      </c>
      <c r="B12" s="7">
        <v>45394</v>
      </c>
      <c r="D12" t="s">
        <v>368</v>
      </c>
      <c r="E12">
        <v>1282</v>
      </c>
      <c r="F12">
        <v>514</v>
      </c>
      <c r="G12">
        <v>768</v>
      </c>
      <c r="H12" s="17">
        <f t="shared" si="0"/>
        <v>0.40093603744149764</v>
      </c>
    </row>
    <row r="13" spans="1:13" x14ac:dyDescent="0.35">
      <c r="A13" t="s">
        <v>317</v>
      </c>
      <c r="B13" s="7">
        <v>43468</v>
      </c>
      <c r="D13" t="s">
        <v>330</v>
      </c>
      <c r="E13">
        <v>1276</v>
      </c>
      <c r="F13">
        <v>395</v>
      </c>
      <c r="G13">
        <v>881</v>
      </c>
      <c r="H13" s="17">
        <f t="shared" si="0"/>
        <v>0.30956112852664575</v>
      </c>
    </row>
    <row r="14" spans="1:13" x14ac:dyDescent="0.35">
      <c r="A14" t="s">
        <v>105</v>
      </c>
      <c r="B14" s="7">
        <v>41987</v>
      </c>
      <c r="D14" t="s">
        <v>150</v>
      </c>
      <c r="E14">
        <v>1209</v>
      </c>
      <c r="F14">
        <v>536</v>
      </c>
      <c r="G14">
        <v>673</v>
      </c>
      <c r="H14" s="17">
        <f t="shared" si="0"/>
        <v>0.44334160463192723</v>
      </c>
    </row>
    <row r="15" spans="1:13" x14ac:dyDescent="0.35">
      <c r="A15" t="s">
        <v>126</v>
      </c>
      <c r="B15" s="7">
        <v>40086</v>
      </c>
      <c r="D15" t="s">
        <v>342</v>
      </c>
      <c r="E15">
        <v>1193</v>
      </c>
      <c r="F15">
        <v>460</v>
      </c>
      <c r="G15">
        <v>733</v>
      </c>
      <c r="H15" s="17">
        <f t="shared" si="0"/>
        <v>0.38558256496227994</v>
      </c>
    </row>
    <row r="16" spans="1:13" x14ac:dyDescent="0.35">
      <c r="A16" t="s">
        <v>118</v>
      </c>
      <c r="B16" s="7">
        <v>39400</v>
      </c>
      <c r="D16" t="s">
        <v>117</v>
      </c>
      <c r="E16">
        <v>1155</v>
      </c>
      <c r="F16">
        <v>443</v>
      </c>
      <c r="G16">
        <v>712</v>
      </c>
      <c r="H16" s="17">
        <f t="shared" si="0"/>
        <v>0.38354978354978353</v>
      </c>
    </row>
    <row r="17" spans="1:8" x14ac:dyDescent="0.35">
      <c r="A17" t="s">
        <v>138</v>
      </c>
      <c r="B17" s="7">
        <v>35773</v>
      </c>
      <c r="D17" t="s">
        <v>110</v>
      </c>
      <c r="E17">
        <v>1133</v>
      </c>
      <c r="F17">
        <v>476</v>
      </c>
      <c r="G17">
        <v>657</v>
      </c>
      <c r="H17" s="17">
        <f t="shared" si="0"/>
        <v>0.42012356575463372</v>
      </c>
    </row>
    <row r="18" spans="1:8" x14ac:dyDescent="0.35">
      <c r="A18" t="s">
        <v>117</v>
      </c>
      <c r="B18" s="7">
        <v>33741</v>
      </c>
      <c r="D18" t="s">
        <v>131</v>
      </c>
      <c r="E18">
        <v>1121</v>
      </c>
      <c r="F18">
        <v>468</v>
      </c>
      <c r="G18">
        <v>653</v>
      </c>
      <c r="H18" s="17">
        <f t="shared" si="0"/>
        <v>0.4174843889384478</v>
      </c>
    </row>
    <row r="19" spans="1:8" x14ac:dyDescent="0.35">
      <c r="A19" t="s">
        <v>348</v>
      </c>
      <c r="B19" s="7">
        <v>33094</v>
      </c>
      <c r="D19" t="s">
        <v>105</v>
      </c>
      <c r="E19">
        <v>1072</v>
      </c>
      <c r="F19">
        <v>494</v>
      </c>
      <c r="G19">
        <v>578</v>
      </c>
      <c r="H19" s="17">
        <f t="shared" si="0"/>
        <v>0.46082089552238809</v>
      </c>
    </row>
    <row r="20" spans="1:8" x14ac:dyDescent="0.35">
      <c r="A20" t="s">
        <v>112</v>
      </c>
      <c r="B20" s="7">
        <v>32415</v>
      </c>
      <c r="D20" t="s">
        <v>335</v>
      </c>
      <c r="E20">
        <v>1055</v>
      </c>
      <c r="F20">
        <v>444</v>
      </c>
      <c r="G20">
        <v>611</v>
      </c>
      <c r="H20" s="17">
        <f t="shared" si="0"/>
        <v>0.42085308056872039</v>
      </c>
    </row>
    <row r="21" spans="1:8" x14ac:dyDescent="0.35">
      <c r="A21" t="s">
        <v>134</v>
      </c>
      <c r="B21" s="7">
        <v>32377</v>
      </c>
      <c r="D21" t="s">
        <v>126</v>
      </c>
      <c r="E21">
        <v>1029</v>
      </c>
      <c r="F21">
        <v>444</v>
      </c>
      <c r="G21">
        <v>585</v>
      </c>
      <c r="H21" s="17">
        <f t="shared" si="0"/>
        <v>0.43148688046647232</v>
      </c>
    </row>
    <row r="22" spans="1:8" x14ac:dyDescent="0.35">
      <c r="A22" t="s">
        <v>342</v>
      </c>
      <c r="B22" s="7">
        <v>29379</v>
      </c>
      <c r="D22" t="s">
        <v>341</v>
      </c>
      <c r="E22">
        <v>1019</v>
      </c>
      <c r="F22">
        <v>467</v>
      </c>
      <c r="G22">
        <v>552</v>
      </c>
      <c r="H22" s="17">
        <f t="shared" si="0"/>
        <v>0.45829244357212956</v>
      </c>
    </row>
    <row r="23" spans="1:8" x14ac:dyDescent="0.35">
      <c r="A23" t="s">
        <v>102</v>
      </c>
      <c r="B23" s="7">
        <v>26338</v>
      </c>
      <c r="D23" t="s">
        <v>102</v>
      </c>
      <c r="E23">
        <v>1006</v>
      </c>
      <c r="F23">
        <v>420</v>
      </c>
      <c r="G23">
        <v>586</v>
      </c>
      <c r="H23" s="17">
        <f t="shared" si="0"/>
        <v>0.41749502982107356</v>
      </c>
    </row>
    <row r="24" spans="1:8" x14ac:dyDescent="0.35">
      <c r="A24" t="s">
        <v>357</v>
      </c>
      <c r="B24" s="7">
        <v>25482</v>
      </c>
      <c r="D24" t="s">
        <v>354</v>
      </c>
      <c r="E24">
        <v>921</v>
      </c>
      <c r="F24">
        <v>346</v>
      </c>
      <c r="G24">
        <v>575</v>
      </c>
      <c r="H24" s="17">
        <f t="shared" si="0"/>
        <v>0.3756786102062975</v>
      </c>
    </row>
    <row r="25" spans="1:8" x14ac:dyDescent="0.35">
      <c r="A25" t="s">
        <v>127</v>
      </c>
      <c r="B25" s="7">
        <v>25341</v>
      </c>
      <c r="D25" t="s">
        <v>138</v>
      </c>
      <c r="E25">
        <v>870</v>
      </c>
      <c r="F25">
        <v>353</v>
      </c>
      <c r="G25">
        <v>517</v>
      </c>
      <c r="H25" s="17">
        <f t="shared" si="0"/>
        <v>0.40574712643678162</v>
      </c>
    </row>
    <row r="26" spans="1:8" x14ac:dyDescent="0.35">
      <c r="A26" t="s">
        <v>322</v>
      </c>
      <c r="B26" s="7">
        <v>25280</v>
      </c>
      <c r="D26" t="s">
        <v>141</v>
      </c>
      <c r="E26">
        <v>844</v>
      </c>
      <c r="F26">
        <v>333</v>
      </c>
      <c r="G26">
        <v>511</v>
      </c>
      <c r="H26" s="17">
        <f t="shared" si="0"/>
        <v>0.39454976303317535</v>
      </c>
    </row>
    <row r="27" spans="1:8" x14ac:dyDescent="0.35">
      <c r="A27" t="s">
        <v>334</v>
      </c>
      <c r="B27" s="7">
        <v>25012</v>
      </c>
      <c r="D27" t="s">
        <v>134</v>
      </c>
      <c r="E27">
        <v>812</v>
      </c>
      <c r="F27">
        <v>276</v>
      </c>
      <c r="G27">
        <v>536</v>
      </c>
      <c r="H27" s="17">
        <f t="shared" si="0"/>
        <v>0.33990147783251229</v>
      </c>
    </row>
    <row r="28" spans="1:8" x14ac:dyDescent="0.35">
      <c r="A28" t="s">
        <v>326</v>
      </c>
      <c r="B28" s="7">
        <v>24716</v>
      </c>
      <c r="D28" t="s">
        <v>118</v>
      </c>
      <c r="E28">
        <v>745</v>
      </c>
      <c r="F28">
        <v>203</v>
      </c>
      <c r="G28">
        <v>542</v>
      </c>
      <c r="H28" s="17">
        <f t="shared" si="0"/>
        <v>0.27248322147651005</v>
      </c>
    </row>
    <row r="29" spans="1:8" x14ac:dyDescent="0.35">
      <c r="A29" t="s">
        <v>120</v>
      </c>
      <c r="B29" s="7">
        <v>24418</v>
      </c>
      <c r="D29" t="s">
        <v>112</v>
      </c>
      <c r="E29">
        <v>692</v>
      </c>
      <c r="F29">
        <v>228</v>
      </c>
      <c r="G29">
        <v>464</v>
      </c>
      <c r="H29" s="17">
        <f t="shared" si="0"/>
        <v>0.32947976878612717</v>
      </c>
    </row>
    <row r="30" spans="1:8" x14ac:dyDescent="0.35">
      <c r="A30" t="s">
        <v>150</v>
      </c>
      <c r="B30" s="7">
        <v>24190</v>
      </c>
      <c r="D30" t="s">
        <v>366</v>
      </c>
      <c r="E30">
        <v>627</v>
      </c>
      <c r="F30">
        <v>305</v>
      </c>
      <c r="G30">
        <v>322</v>
      </c>
      <c r="H30" s="17">
        <f t="shared" si="0"/>
        <v>0.48644338118022329</v>
      </c>
    </row>
    <row r="31" spans="1:8" x14ac:dyDescent="0.35">
      <c r="A31" t="s">
        <v>129</v>
      </c>
      <c r="B31" s="7">
        <v>23290</v>
      </c>
      <c r="D31" t="s">
        <v>120</v>
      </c>
      <c r="E31">
        <v>612</v>
      </c>
      <c r="F31">
        <v>212</v>
      </c>
      <c r="G31">
        <v>400</v>
      </c>
      <c r="H31" s="17">
        <f t="shared" si="0"/>
        <v>0.34640522875816993</v>
      </c>
    </row>
    <row r="32" spans="1:8" x14ac:dyDescent="0.35">
      <c r="A32" t="s">
        <v>358</v>
      </c>
      <c r="B32" s="7">
        <v>23264</v>
      </c>
      <c r="D32" t="s">
        <v>114</v>
      </c>
      <c r="E32">
        <v>576</v>
      </c>
      <c r="F32">
        <v>267</v>
      </c>
      <c r="G32">
        <v>309</v>
      </c>
      <c r="H32" s="17">
        <f t="shared" si="0"/>
        <v>0.46354166666666669</v>
      </c>
    </row>
    <row r="33" spans="1:8" x14ac:dyDescent="0.35">
      <c r="A33" t="s">
        <v>116</v>
      </c>
      <c r="B33" s="7">
        <v>23140</v>
      </c>
      <c r="D33" t="s">
        <v>128</v>
      </c>
      <c r="E33">
        <v>547</v>
      </c>
      <c r="F33">
        <v>233</v>
      </c>
      <c r="G33">
        <v>314</v>
      </c>
      <c r="H33" s="17">
        <f t="shared" si="0"/>
        <v>0.42595978062157219</v>
      </c>
    </row>
    <row r="34" spans="1:8" x14ac:dyDescent="0.35">
      <c r="A34" t="s">
        <v>128</v>
      </c>
      <c r="B34" s="7">
        <v>23113</v>
      </c>
      <c r="D34" t="s">
        <v>156</v>
      </c>
      <c r="E34">
        <v>533</v>
      </c>
      <c r="F34">
        <v>241</v>
      </c>
      <c r="G34">
        <v>292</v>
      </c>
      <c r="H34" s="17">
        <f t="shared" si="0"/>
        <v>0.4521575984990619</v>
      </c>
    </row>
    <row r="35" spans="1:8" x14ac:dyDescent="0.35">
      <c r="A35" t="s">
        <v>350</v>
      </c>
      <c r="B35" s="7">
        <v>20761</v>
      </c>
      <c r="D35" t="s">
        <v>111</v>
      </c>
      <c r="E35">
        <v>489</v>
      </c>
      <c r="F35">
        <v>208</v>
      </c>
      <c r="G35">
        <v>281</v>
      </c>
      <c r="H35" s="17">
        <f t="shared" si="0"/>
        <v>0.42535787321063395</v>
      </c>
    </row>
    <row r="36" spans="1:8" x14ac:dyDescent="0.35">
      <c r="A36" t="s">
        <v>109</v>
      </c>
      <c r="B36" s="7">
        <v>19279</v>
      </c>
      <c r="D36" t="s">
        <v>334</v>
      </c>
      <c r="E36">
        <v>488</v>
      </c>
      <c r="F36">
        <v>230</v>
      </c>
      <c r="G36">
        <v>258</v>
      </c>
      <c r="H36" s="17">
        <f t="shared" si="0"/>
        <v>0.47131147540983609</v>
      </c>
    </row>
    <row r="37" spans="1:8" x14ac:dyDescent="0.35">
      <c r="A37" t="s">
        <v>91</v>
      </c>
      <c r="B37" s="7">
        <v>18732</v>
      </c>
      <c r="D37" t="s">
        <v>144</v>
      </c>
      <c r="E37">
        <v>461</v>
      </c>
      <c r="F37">
        <v>196</v>
      </c>
      <c r="G37">
        <v>265</v>
      </c>
      <c r="H37" s="17">
        <f t="shared" si="0"/>
        <v>0.42516268980477223</v>
      </c>
    </row>
    <row r="38" spans="1:8" x14ac:dyDescent="0.35">
      <c r="A38" t="s">
        <v>114</v>
      </c>
      <c r="B38" s="7">
        <v>16879</v>
      </c>
      <c r="D38" t="s">
        <v>367</v>
      </c>
      <c r="E38">
        <v>460</v>
      </c>
      <c r="F38">
        <v>193</v>
      </c>
      <c r="G38">
        <v>267</v>
      </c>
      <c r="H38" s="17">
        <f t="shared" si="0"/>
        <v>0.41956521739130437</v>
      </c>
    </row>
    <row r="39" spans="1:8" x14ac:dyDescent="0.35">
      <c r="A39" t="s">
        <v>144</v>
      </c>
      <c r="B39" s="7">
        <v>16539</v>
      </c>
      <c r="D39" t="s">
        <v>91</v>
      </c>
      <c r="E39">
        <v>452</v>
      </c>
      <c r="F39">
        <v>170</v>
      </c>
      <c r="G39">
        <v>282</v>
      </c>
      <c r="H39" s="17">
        <f t="shared" si="0"/>
        <v>0.37610619469026546</v>
      </c>
    </row>
    <row r="40" spans="1:8" x14ac:dyDescent="0.35">
      <c r="A40" t="s">
        <v>113</v>
      </c>
      <c r="B40" s="7">
        <v>16420</v>
      </c>
      <c r="D40" t="s">
        <v>369</v>
      </c>
      <c r="E40">
        <v>390</v>
      </c>
      <c r="F40">
        <v>158</v>
      </c>
      <c r="G40">
        <v>232</v>
      </c>
      <c r="H40" s="17">
        <f t="shared" si="0"/>
        <v>0.40512820512820513</v>
      </c>
    </row>
    <row r="41" spans="1:8" x14ac:dyDescent="0.35">
      <c r="A41" t="s">
        <v>141</v>
      </c>
      <c r="B41" s="7">
        <v>16054</v>
      </c>
      <c r="D41" t="s">
        <v>322</v>
      </c>
      <c r="E41">
        <v>373</v>
      </c>
      <c r="F41">
        <v>125</v>
      </c>
      <c r="G41">
        <v>248</v>
      </c>
      <c r="H41" s="17">
        <f t="shared" si="0"/>
        <v>0.33512064343163539</v>
      </c>
    </row>
    <row r="42" spans="1:8" x14ac:dyDescent="0.35">
      <c r="A42" t="s">
        <v>96</v>
      </c>
      <c r="B42" s="7">
        <v>15442</v>
      </c>
      <c r="D42" t="s">
        <v>116</v>
      </c>
      <c r="E42">
        <v>345</v>
      </c>
      <c r="F42">
        <v>173</v>
      </c>
      <c r="G42">
        <v>172</v>
      </c>
      <c r="H42" s="17">
        <f t="shared" si="0"/>
        <v>0.50144927536231887</v>
      </c>
    </row>
    <row r="43" spans="1:8" x14ac:dyDescent="0.35">
      <c r="A43" t="s">
        <v>146</v>
      </c>
      <c r="B43" s="7">
        <v>15289</v>
      </c>
      <c r="D43" t="s">
        <v>155</v>
      </c>
      <c r="E43">
        <v>337</v>
      </c>
      <c r="F43">
        <v>138</v>
      </c>
      <c r="G43">
        <v>199</v>
      </c>
      <c r="H43" s="17">
        <f t="shared" si="0"/>
        <v>0.40949554896142432</v>
      </c>
    </row>
    <row r="44" spans="1:8" x14ac:dyDescent="0.35">
      <c r="A44" t="s">
        <v>156</v>
      </c>
      <c r="B44" s="7">
        <v>15226</v>
      </c>
      <c r="D44" t="s">
        <v>345</v>
      </c>
      <c r="E44">
        <v>281</v>
      </c>
      <c r="F44">
        <v>97</v>
      </c>
      <c r="G44">
        <v>184</v>
      </c>
      <c r="H44" s="17">
        <f t="shared" si="0"/>
        <v>0.34519572953736655</v>
      </c>
    </row>
    <row r="45" spans="1:8" x14ac:dyDescent="0.35">
      <c r="A45" t="s">
        <v>349</v>
      </c>
      <c r="B45" s="7">
        <v>14398</v>
      </c>
      <c r="D45" t="s">
        <v>146</v>
      </c>
      <c r="E45">
        <v>273</v>
      </c>
      <c r="F45">
        <v>107</v>
      </c>
      <c r="G45">
        <v>166</v>
      </c>
      <c r="H45" s="17">
        <f t="shared" si="0"/>
        <v>0.39194139194139194</v>
      </c>
    </row>
    <row r="46" spans="1:8" x14ac:dyDescent="0.35">
      <c r="A46" t="s">
        <v>321</v>
      </c>
      <c r="B46" s="7">
        <v>14394</v>
      </c>
      <c r="D46" t="s">
        <v>92</v>
      </c>
      <c r="E46">
        <v>205</v>
      </c>
      <c r="F46">
        <v>143</v>
      </c>
      <c r="G46">
        <v>62</v>
      </c>
      <c r="H46" s="60">
        <f t="shared" si="0"/>
        <v>0.69756097560975605</v>
      </c>
    </row>
    <row r="47" spans="1:8" x14ac:dyDescent="0.35">
      <c r="A47" t="s">
        <v>330</v>
      </c>
      <c r="B47" s="7">
        <v>13410</v>
      </c>
      <c r="D47" t="s">
        <v>321</v>
      </c>
      <c r="E47">
        <v>195</v>
      </c>
      <c r="F47">
        <v>81</v>
      </c>
      <c r="G47">
        <v>114</v>
      </c>
      <c r="H47" s="17">
        <f t="shared" si="0"/>
        <v>0.41538461538461541</v>
      </c>
    </row>
    <row r="48" spans="1:8" x14ac:dyDescent="0.35">
      <c r="A48" t="s">
        <v>140</v>
      </c>
      <c r="B48" s="7">
        <v>13193</v>
      </c>
      <c r="D48" t="s">
        <v>109</v>
      </c>
      <c r="E48">
        <v>167</v>
      </c>
      <c r="F48">
        <v>73</v>
      </c>
      <c r="G48">
        <v>94</v>
      </c>
      <c r="H48" s="17">
        <f t="shared" si="0"/>
        <v>0.43712574850299402</v>
      </c>
    </row>
    <row r="49" spans="1:8" x14ac:dyDescent="0.35">
      <c r="A49" s="61" t="s">
        <v>360</v>
      </c>
      <c r="B49" s="7">
        <v>12983</v>
      </c>
      <c r="D49" t="s">
        <v>140</v>
      </c>
      <c r="E49">
        <v>137</v>
      </c>
      <c r="F49">
        <v>64</v>
      </c>
      <c r="G49">
        <v>73</v>
      </c>
    </row>
    <row r="50" spans="1:8" x14ac:dyDescent="0.35">
      <c r="A50" t="s">
        <v>335</v>
      </c>
      <c r="B50" s="7">
        <v>12228</v>
      </c>
      <c r="D50" t="s">
        <v>125</v>
      </c>
      <c r="E50">
        <v>45</v>
      </c>
      <c r="F50">
        <v>24</v>
      </c>
      <c r="G50">
        <v>21</v>
      </c>
    </row>
    <row r="51" spans="1:8" x14ac:dyDescent="0.35">
      <c r="A51" t="s">
        <v>151</v>
      </c>
      <c r="B51" s="7">
        <v>11879</v>
      </c>
      <c r="D51" t="s">
        <v>349</v>
      </c>
      <c r="E51">
        <v>4</v>
      </c>
      <c r="F51" t="s">
        <v>4</v>
      </c>
      <c r="G51" t="s">
        <v>4</v>
      </c>
    </row>
    <row r="52" spans="1:8" x14ac:dyDescent="0.35">
      <c r="A52" t="s">
        <v>158</v>
      </c>
      <c r="B52" s="7">
        <v>11444</v>
      </c>
      <c r="D52" s="106" t="s">
        <v>445</v>
      </c>
      <c r="E52" s="106"/>
      <c r="F52" s="106"/>
      <c r="G52" s="106"/>
      <c r="H52" s="107">
        <f>AVERAGE(H3:H48)</f>
        <v>0.41715615483912277</v>
      </c>
    </row>
    <row r="53" spans="1:8" x14ac:dyDescent="0.35">
      <c r="A53" t="s">
        <v>336</v>
      </c>
      <c r="B53" s="7">
        <v>11170</v>
      </c>
    </row>
    <row r="54" spans="1:8" x14ac:dyDescent="0.35">
      <c r="A54" t="s">
        <v>325</v>
      </c>
      <c r="B54" s="7">
        <v>10813</v>
      </c>
    </row>
    <row r="55" spans="1:8" x14ac:dyDescent="0.35">
      <c r="A55" t="s">
        <v>160</v>
      </c>
      <c r="B55" s="7">
        <v>10670</v>
      </c>
    </row>
    <row r="56" spans="1:8" x14ac:dyDescent="0.35">
      <c r="A56" t="s">
        <v>111</v>
      </c>
      <c r="B56" s="7">
        <v>10450</v>
      </c>
    </row>
    <row r="57" spans="1:8" x14ac:dyDescent="0.35">
      <c r="A57" t="s">
        <v>115</v>
      </c>
      <c r="B57" s="7">
        <v>10119</v>
      </c>
    </row>
    <row r="58" spans="1:8" x14ac:dyDescent="0.35">
      <c r="A58" t="s">
        <v>318</v>
      </c>
      <c r="B58" s="7">
        <v>9908</v>
      </c>
    </row>
    <row r="59" spans="1:8" x14ac:dyDescent="0.35">
      <c r="A59" t="s">
        <v>354</v>
      </c>
      <c r="B59" s="7">
        <v>9523</v>
      </c>
    </row>
    <row r="60" spans="1:8" x14ac:dyDescent="0.35">
      <c r="A60" t="s">
        <v>344</v>
      </c>
      <c r="B60" s="7">
        <v>9183</v>
      </c>
    </row>
    <row r="61" spans="1:8" x14ac:dyDescent="0.35">
      <c r="A61" t="s">
        <v>337</v>
      </c>
      <c r="B61" s="7">
        <v>8394</v>
      </c>
    </row>
    <row r="62" spans="1:8" x14ac:dyDescent="0.35">
      <c r="A62" t="s">
        <v>145</v>
      </c>
      <c r="B62" s="7">
        <v>8339</v>
      </c>
    </row>
    <row r="63" spans="1:8" x14ac:dyDescent="0.35">
      <c r="A63" t="s">
        <v>103</v>
      </c>
      <c r="B63" s="7">
        <v>7342</v>
      </c>
    </row>
    <row r="64" spans="1:8" x14ac:dyDescent="0.35">
      <c r="A64" t="s">
        <v>121</v>
      </c>
      <c r="B64" s="7">
        <v>7172</v>
      </c>
    </row>
    <row r="65" spans="1:2" x14ac:dyDescent="0.35">
      <c r="A65" t="s">
        <v>323</v>
      </c>
      <c r="B65" s="7">
        <v>6767</v>
      </c>
    </row>
    <row r="66" spans="1:2" x14ac:dyDescent="0.35">
      <c r="A66" t="s">
        <v>98</v>
      </c>
      <c r="B66" s="7">
        <v>6630</v>
      </c>
    </row>
    <row r="67" spans="1:2" x14ac:dyDescent="0.35">
      <c r="A67" t="s">
        <v>331</v>
      </c>
      <c r="B67" s="7">
        <v>5793</v>
      </c>
    </row>
    <row r="68" spans="1:2" x14ac:dyDescent="0.35">
      <c r="A68" t="s">
        <v>345</v>
      </c>
      <c r="B68" s="7">
        <v>5736</v>
      </c>
    </row>
    <row r="69" spans="1:2" x14ac:dyDescent="0.35">
      <c r="A69" t="s">
        <v>142</v>
      </c>
      <c r="B69" s="7">
        <v>5593</v>
      </c>
    </row>
    <row r="70" spans="1:2" x14ac:dyDescent="0.35">
      <c r="A70" t="s">
        <v>339</v>
      </c>
      <c r="B70" s="7">
        <v>5283</v>
      </c>
    </row>
    <row r="71" spans="1:2" x14ac:dyDescent="0.35">
      <c r="A71" t="s">
        <v>328</v>
      </c>
      <c r="B71" s="7">
        <v>5277</v>
      </c>
    </row>
    <row r="72" spans="1:2" x14ac:dyDescent="0.35">
      <c r="A72" t="s">
        <v>139</v>
      </c>
      <c r="B72" s="7">
        <v>4987</v>
      </c>
    </row>
    <row r="73" spans="1:2" x14ac:dyDescent="0.35">
      <c r="A73" t="s">
        <v>359</v>
      </c>
      <c r="B73" s="7">
        <v>4317</v>
      </c>
    </row>
    <row r="74" spans="1:2" x14ac:dyDescent="0.35">
      <c r="A74" t="s">
        <v>351</v>
      </c>
      <c r="B74" s="7">
        <v>3957</v>
      </c>
    </row>
    <row r="75" spans="1:2" x14ac:dyDescent="0.35">
      <c r="A75" t="s">
        <v>92</v>
      </c>
      <c r="B75" s="7">
        <v>3759</v>
      </c>
    </row>
    <row r="76" spans="1:2" x14ac:dyDescent="0.35">
      <c r="A76" t="s">
        <v>332</v>
      </c>
      <c r="B76" s="7">
        <v>2738</v>
      </c>
    </row>
    <row r="77" spans="1:2" x14ac:dyDescent="0.35">
      <c r="A77" t="s">
        <v>152</v>
      </c>
      <c r="B77" s="7">
        <v>2480</v>
      </c>
    </row>
    <row r="78" spans="1:2" x14ac:dyDescent="0.35">
      <c r="A78" t="s">
        <v>343</v>
      </c>
      <c r="B78" s="7">
        <v>2221</v>
      </c>
    </row>
    <row r="79" spans="1:2" x14ac:dyDescent="0.35">
      <c r="A79" t="s">
        <v>324</v>
      </c>
      <c r="B79" s="7">
        <v>2149</v>
      </c>
    </row>
    <row r="80" spans="1:2" x14ac:dyDescent="0.35">
      <c r="A80" t="s">
        <v>347</v>
      </c>
      <c r="B80" s="7">
        <v>2134</v>
      </c>
    </row>
    <row r="81" spans="1:2" x14ac:dyDescent="0.35">
      <c r="A81" t="s">
        <v>62</v>
      </c>
      <c r="B81" s="7">
        <v>2011</v>
      </c>
    </row>
    <row r="82" spans="1:2" x14ac:dyDescent="0.35">
      <c r="A82" t="s">
        <v>196</v>
      </c>
      <c r="B82" s="7">
        <v>1947</v>
      </c>
    </row>
    <row r="83" spans="1:2" x14ac:dyDescent="0.35">
      <c r="A83" t="s">
        <v>346</v>
      </c>
      <c r="B83" s="7">
        <v>1868</v>
      </c>
    </row>
    <row r="84" spans="1:2" x14ac:dyDescent="0.35">
      <c r="A84" t="s">
        <v>319</v>
      </c>
      <c r="B84" s="7">
        <v>1556</v>
      </c>
    </row>
    <row r="85" spans="1:2" x14ac:dyDescent="0.35">
      <c r="A85" t="s">
        <v>136</v>
      </c>
      <c r="B85" s="7">
        <v>1319</v>
      </c>
    </row>
    <row r="86" spans="1:2" x14ac:dyDescent="0.35">
      <c r="A86" t="s">
        <v>148</v>
      </c>
      <c r="B86" s="7">
        <v>1071</v>
      </c>
    </row>
    <row r="87" spans="1:2" x14ac:dyDescent="0.35">
      <c r="A87" t="s">
        <v>135</v>
      </c>
      <c r="B87" s="7">
        <v>1042</v>
      </c>
    </row>
    <row r="88" spans="1:2" x14ac:dyDescent="0.35">
      <c r="A88" t="s">
        <v>338</v>
      </c>
      <c r="B88" s="14">
        <v>959</v>
      </c>
    </row>
    <row r="89" spans="1:2" x14ac:dyDescent="0.35">
      <c r="A89" t="s">
        <v>340</v>
      </c>
      <c r="B89" s="14">
        <v>877</v>
      </c>
    </row>
    <row r="90" spans="1:2" x14ac:dyDescent="0.35">
      <c r="A90" t="s">
        <v>356</v>
      </c>
      <c r="B90" s="14">
        <v>841</v>
      </c>
    </row>
    <row r="91" spans="1:2" x14ac:dyDescent="0.35">
      <c r="A91" t="s">
        <v>352</v>
      </c>
      <c r="B91" s="14">
        <v>806</v>
      </c>
    </row>
    <row r="92" spans="1:2" x14ac:dyDescent="0.35">
      <c r="A92" t="s">
        <v>327</v>
      </c>
      <c r="B92" s="14">
        <v>337</v>
      </c>
    </row>
    <row r="93" spans="1:2" x14ac:dyDescent="0.35">
      <c r="A93" t="s">
        <v>353</v>
      </c>
      <c r="B93" s="14">
        <v>250</v>
      </c>
    </row>
    <row r="94" spans="1:2" x14ac:dyDescent="0.35">
      <c r="A94" t="s">
        <v>355</v>
      </c>
      <c r="B94" s="14">
        <v>110</v>
      </c>
    </row>
  </sheetData>
  <mergeCells count="5">
    <mergeCell ref="J1:M1"/>
    <mergeCell ref="J2:M2"/>
    <mergeCell ref="J3:M3"/>
    <mergeCell ref="J4:M4"/>
    <mergeCell ref="D1:G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dimension ref="A1:W174"/>
  <sheetViews>
    <sheetView topLeftCell="J13" zoomScale="80" zoomScaleNormal="80" workbookViewId="0">
      <selection activeCell="Y95" sqref="Y95"/>
    </sheetView>
  </sheetViews>
  <sheetFormatPr defaultColWidth="11" defaultRowHeight="15.5" x14ac:dyDescent="0.35"/>
  <cols>
    <col min="1" max="1" width="29.75" style="70" customWidth="1"/>
    <col min="2" max="2" width="24.33203125" style="70" customWidth="1"/>
    <col min="3" max="8" width="11" style="80"/>
    <col min="11" max="11" width="16" customWidth="1"/>
    <col min="14" max="14" width="32.5" customWidth="1"/>
    <col min="15" max="15" width="6.08203125" customWidth="1"/>
    <col min="16" max="16" width="7.25" customWidth="1"/>
    <col min="17" max="17" width="6.58203125" customWidth="1"/>
    <col min="18" max="19" width="6.83203125" customWidth="1"/>
    <col min="20" max="20" width="6.33203125" customWidth="1"/>
    <col min="21" max="21" width="6.5" customWidth="1"/>
    <col min="22" max="23" width="6.58203125" customWidth="1"/>
  </cols>
  <sheetData>
    <row r="1" spans="1:17" s="8" customFormat="1" x14ac:dyDescent="0.35">
      <c r="A1" s="65" t="s">
        <v>227</v>
      </c>
      <c r="B1" s="64"/>
      <c r="C1" s="72"/>
      <c r="D1" s="72"/>
      <c r="E1" s="72"/>
      <c r="F1" s="72"/>
      <c r="G1" s="72"/>
      <c r="H1" s="72"/>
      <c r="I1" s="186" t="s">
        <v>316</v>
      </c>
      <c r="J1"/>
      <c r="K1" t="s">
        <v>511</v>
      </c>
    </row>
    <row r="2" spans="1:17" s="8" customFormat="1" x14ac:dyDescent="0.35">
      <c r="A2" s="65" t="s">
        <v>228</v>
      </c>
      <c r="B2" s="65" t="s">
        <v>63</v>
      </c>
      <c r="C2" s="73" t="s">
        <v>85</v>
      </c>
      <c r="D2" s="73" t="s">
        <v>186</v>
      </c>
      <c r="E2" s="73" t="s">
        <v>86</v>
      </c>
      <c r="F2" s="73" t="s">
        <v>219</v>
      </c>
      <c r="G2" s="73" t="s">
        <v>87</v>
      </c>
      <c r="H2" s="73" t="s">
        <v>187</v>
      </c>
      <c r="I2" s="186"/>
      <c r="K2" s="8" t="s">
        <v>510</v>
      </c>
      <c r="L2" s="8" t="s">
        <v>85</v>
      </c>
      <c r="M2" s="8" t="s">
        <v>186</v>
      </c>
      <c r="N2" s="8" t="s">
        <v>86</v>
      </c>
      <c r="O2" s="8" t="s">
        <v>219</v>
      </c>
      <c r="P2" s="8" t="s">
        <v>87</v>
      </c>
      <c r="Q2" s="8" t="s">
        <v>187</v>
      </c>
    </row>
    <row r="3" spans="1:17" x14ac:dyDescent="0.35">
      <c r="A3" s="70" t="s">
        <v>7</v>
      </c>
      <c r="B3" s="66" t="s">
        <v>19</v>
      </c>
      <c r="C3" s="74">
        <v>67</v>
      </c>
      <c r="D3" s="74">
        <v>88</v>
      </c>
      <c r="E3" s="74">
        <v>70</v>
      </c>
      <c r="F3" s="74">
        <v>62</v>
      </c>
      <c r="G3" s="74">
        <v>61</v>
      </c>
      <c r="H3" s="74">
        <v>64</v>
      </c>
      <c r="I3" s="55">
        <f>(H3-C3)/C3</f>
        <v>-4.4776119402985072E-2</v>
      </c>
      <c r="J3" s="30"/>
      <c r="K3" t="s">
        <v>222</v>
      </c>
      <c r="L3">
        <v>2438</v>
      </c>
      <c r="M3">
        <v>2999</v>
      </c>
      <c r="N3">
        <v>3175</v>
      </c>
      <c r="O3">
        <v>3154</v>
      </c>
      <c r="P3">
        <v>3503</v>
      </c>
      <c r="Q3">
        <v>3634</v>
      </c>
    </row>
    <row r="4" spans="1:17" x14ac:dyDescent="0.35">
      <c r="A4" s="70" t="s">
        <v>204</v>
      </c>
      <c r="B4" s="66" t="s">
        <v>172</v>
      </c>
      <c r="C4" s="74">
        <v>69</v>
      </c>
      <c r="D4" s="74">
        <v>64</v>
      </c>
      <c r="E4" s="74">
        <v>62</v>
      </c>
      <c r="F4" s="74">
        <v>84</v>
      </c>
      <c r="G4" s="74">
        <v>86</v>
      </c>
      <c r="H4" s="74">
        <v>54</v>
      </c>
      <c r="I4" s="55">
        <f>(H4-C4)/C4</f>
        <v>-0.21739130434782608</v>
      </c>
      <c r="J4" s="30"/>
      <c r="K4" t="s">
        <v>189</v>
      </c>
      <c r="L4" s="13">
        <v>55.409090909090907</v>
      </c>
      <c r="M4" s="13">
        <v>66.644444444444446</v>
      </c>
      <c r="N4" s="13">
        <v>70.555555555555557</v>
      </c>
      <c r="O4" s="13">
        <v>68.891304347826093</v>
      </c>
      <c r="P4" s="13">
        <v>73.458333333333329</v>
      </c>
      <c r="Q4" s="13">
        <v>73.62</v>
      </c>
    </row>
    <row r="5" spans="1:17" x14ac:dyDescent="0.35">
      <c r="A5" s="70" t="s">
        <v>224</v>
      </c>
      <c r="B5" s="66" t="s">
        <v>224</v>
      </c>
      <c r="C5" s="75" t="s">
        <v>4</v>
      </c>
      <c r="D5" s="81" t="s">
        <v>4</v>
      </c>
      <c r="E5" s="81" t="s">
        <v>4</v>
      </c>
      <c r="F5" s="81" t="s">
        <v>4</v>
      </c>
      <c r="G5" s="81" t="s">
        <v>4</v>
      </c>
      <c r="H5" s="74">
        <v>11</v>
      </c>
      <c r="I5" s="130" t="s">
        <v>4</v>
      </c>
      <c r="J5" s="30"/>
      <c r="K5" t="s">
        <v>308</v>
      </c>
      <c r="L5">
        <v>1092</v>
      </c>
      <c r="M5">
        <v>1249</v>
      </c>
      <c r="N5">
        <v>1307</v>
      </c>
      <c r="O5">
        <v>1127</v>
      </c>
      <c r="P5">
        <v>1354</v>
      </c>
      <c r="Q5">
        <v>1277</v>
      </c>
    </row>
    <row r="6" spans="1:17" x14ac:dyDescent="0.35">
      <c r="A6" s="70" t="s">
        <v>205</v>
      </c>
      <c r="B6" s="66" t="s">
        <v>173</v>
      </c>
      <c r="C6" s="74">
        <v>8</v>
      </c>
      <c r="D6" s="74">
        <v>8</v>
      </c>
      <c r="E6" s="74">
        <v>16</v>
      </c>
      <c r="F6" s="74">
        <v>4</v>
      </c>
      <c r="G6" s="74">
        <v>7</v>
      </c>
      <c r="H6" s="74">
        <v>7</v>
      </c>
      <c r="I6" s="55">
        <f>(H6-C6)/C6</f>
        <v>-0.125</v>
      </c>
      <c r="J6" s="30"/>
      <c r="K6" t="s">
        <v>309</v>
      </c>
      <c r="L6">
        <v>693</v>
      </c>
      <c r="M6">
        <v>926</v>
      </c>
      <c r="N6">
        <v>1005</v>
      </c>
      <c r="O6">
        <v>1135</v>
      </c>
      <c r="P6">
        <v>1290</v>
      </c>
      <c r="Q6">
        <v>1694</v>
      </c>
    </row>
    <row r="7" spans="1:17" x14ac:dyDescent="0.35">
      <c r="A7" s="70" t="s">
        <v>206</v>
      </c>
      <c r="B7" s="66" t="s">
        <v>22</v>
      </c>
      <c r="C7" s="74">
        <v>163</v>
      </c>
      <c r="D7" s="74">
        <v>177</v>
      </c>
      <c r="E7" s="74">
        <v>192</v>
      </c>
      <c r="F7" s="74">
        <v>190</v>
      </c>
      <c r="G7" s="74">
        <v>220</v>
      </c>
      <c r="H7" s="74">
        <v>233</v>
      </c>
      <c r="I7" s="133">
        <f t="shared" ref="I7:I52" si="0">(H7-C7)/C7</f>
        <v>0.42944785276073622</v>
      </c>
      <c r="J7" s="30"/>
      <c r="K7" t="s">
        <v>310</v>
      </c>
      <c r="L7">
        <v>653</v>
      </c>
      <c r="M7">
        <v>824</v>
      </c>
      <c r="N7">
        <v>863</v>
      </c>
      <c r="O7">
        <v>907</v>
      </c>
      <c r="P7">
        <v>882</v>
      </c>
      <c r="Q7">
        <v>710</v>
      </c>
    </row>
    <row r="8" spans="1:17" x14ac:dyDescent="0.35">
      <c r="A8" s="70" t="s">
        <v>205</v>
      </c>
      <c r="B8" s="66" t="s">
        <v>23</v>
      </c>
      <c r="C8" s="74">
        <v>26</v>
      </c>
      <c r="D8" s="74">
        <v>22</v>
      </c>
      <c r="E8" s="74">
        <v>13</v>
      </c>
      <c r="F8" s="74">
        <v>26</v>
      </c>
      <c r="G8" s="74">
        <v>18</v>
      </c>
      <c r="H8" s="74">
        <v>16</v>
      </c>
      <c r="I8" s="55">
        <f t="shared" si="0"/>
        <v>-0.38461538461538464</v>
      </c>
      <c r="J8" s="30"/>
    </row>
    <row r="9" spans="1:17" x14ac:dyDescent="0.35">
      <c r="A9" s="70" t="s">
        <v>208</v>
      </c>
      <c r="B9" s="66" t="s">
        <v>24</v>
      </c>
      <c r="C9" s="74">
        <v>22</v>
      </c>
      <c r="D9" s="74">
        <v>14</v>
      </c>
      <c r="E9" s="74">
        <v>20</v>
      </c>
      <c r="F9" s="74">
        <v>8</v>
      </c>
      <c r="G9" s="74">
        <v>16</v>
      </c>
      <c r="H9" s="74">
        <v>20</v>
      </c>
      <c r="I9" s="55">
        <f t="shared" si="0"/>
        <v>-9.0909090909090912E-2</v>
      </c>
      <c r="J9" s="30"/>
    </row>
    <row r="10" spans="1:17" x14ac:dyDescent="0.35">
      <c r="A10" s="70" t="s">
        <v>200</v>
      </c>
      <c r="B10" s="66" t="s">
        <v>174</v>
      </c>
      <c r="C10" s="74">
        <v>28</v>
      </c>
      <c r="D10" s="74">
        <v>27</v>
      </c>
      <c r="E10" s="74">
        <v>41</v>
      </c>
      <c r="F10" s="74">
        <v>22</v>
      </c>
      <c r="G10" s="74">
        <v>22</v>
      </c>
      <c r="H10" s="74">
        <v>20</v>
      </c>
      <c r="I10" s="55">
        <f t="shared" si="0"/>
        <v>-0.2857142857142857</v>
      </c>
      <c r="J10" s="30"/>
    </row>
    <row r="11" spans="1:17" x14ac:dyDescent="0.35">
      <c r="A11" s="70" t="s">
        <v>209</v>
      </c>
      <c r="B11" s="66" t="s">
        <v>168</v>
      </c>
      <c r="C11" s="74">
        <v>16</v>
      </c>
      <c r="D11" s="74">
        <v>23</v>
      </c>
      <c r="E11" s="74">
        <v>22</v>
      </c>
      <c r="F11" s="74">
        <v>37</v>
      </c>
      <c r="G11" s="74">
        <v>38</v>
      </c>
      <c r="H11" s="74">
        <v>26</v>
      </c>
      <c r="I11" s="133">
        <f t="shared" si="0"/>
        <v>0.625</v>
      </c>
      <c r="J11" s="30"/>
    </row>
    <row r="12" spans="1:17" x14ac:dyDescent="0.35">
      <c r="A12" s="70" t="s">
        <v>210</v>
      </c>
      <c r="B12" s="66" t="s">
        <v>25</v>
      </c>
      <c r="C12" s="74">
        <v>11</v>
      </c>
      <c r="D12" s="74">
        <v>41</v>
      </c>
      <c r="E12" s="74">
        <v>50</v>
      </c>
      <c r="F12" s="74">
        <v>51</v>
      </c>
      <c r="G12" s="74">
        <v>59</v>
      </c>
      <c r="H12" s="74">
        <v>29</v>
      </c>
      <c r="I12" s="133">
        <f t="shared" si="0"/>
        <v>1.6363636363636365</v>
      </c>
      <c r="J12" s="30"/>
    </row>
    <row r="13" spans="1:17" x14ac:dyDescent="0.35">
      <c r="A13" s="70" t="s">
        <v>211</v>
      </c>
      <c r="B13" s="66" t="s">
        <v>182</v>
      </c>
      <c r="C13" s="74">
        <v>71</v>
      </c>
      <c r="D13" s="74">
        <v>120</v>
      </c>
      <c r="E13" s="74">
        <v>93</v>
      </c>
      <c r="F13" s="74">
        <v>90</v>
      </c>
      <c r="G13" s="74">
        <v>97</v>
      </c>
      <c r="H13" s="74">
        <v>69</v>
      </c>
      <c r="I13" s="55">
        <f t="shared" si="0"/>
        <v>-2.8169014084507043E-2</v>
      </c>
      <c r="J13" s="30"/>
    </row>
    <row r="14" spans="1:17" x14ac:dyDescent="0.35">
      <c r="A14" s="70" t="s">
        <v>206</v>
      </c>
      <c r="B14" s="66" t="s">
        <v>26</v>
      </c>
      <c r="C14" s="74">
        <v>10</v>
      </c>
      <c r="D14" s="74">
        <v>79</v>
      </c>
      <c r="E14" s="74">
        <v>116</v>
      </c>
      <c r="F14" s="74">
        <v>15</v>
      </c>
      <c r="G14" s="74">
        <v>23</v>
      </c>
      <c r="H14" s="74">
        <v>18</v>
      </c>
      <c r="I14" s="55">
        <f>(H14-E14)/E14</f>
        <v>-0.84482758620689657</v>
      </c>
      <c r="J14" s="30"/>
    </row>
    <row r="15" spans="1:17" x14ac:dyDescent="0.35">
      <c r="A15" s="70" t="s">
        <v>212</v>
      </c>
      <c r="B15" s="66" t="s">
        <v>27</v>
      </c>
      <c r="C15" s="74">
        <v>61</v>
      </c>
      <c r="D15" s="74">
        <v>44</v>
      </c>
      <c r="E15" s="74">
        <v>63</v>
      </c>
      <c r="F15" s="74">
        <v>64</v>
      </c>
      <c r="G15" s="74">
        <v>76</v>
      </c>
      <c r="H15" s="74">
        <v>78</v>
      </c>
      <c r="I15" s="133">
        <f t="shared" si="0"/>
        <v>0.27868852459016391</v>
      </c>
      <c r="J15" s="30"/>
    </row>
    <row r="16" spans="1:17" x14ac:dyDescent="0.35">
      <c r="A16" s="70" t="s">
        <v>204</v>
      </c>
      <c r="B16" s="67" t="s">
        <v>28</v>
      </c>
      <c r="C16" s="75" t="s">
        <v>4</v>
      </c>
      <c r="D16" s="81" t="s">
        <v>4</v>
      </c>
      <c r="E16" s="81" t="s">
        <v>4</v>
      </c>
      <c r="F16" s="81" t="s">
        <v>4</v>
      </c>
      <c r="G16" s="74">
        <v>25</v>
      </c>
      <c r="H16" s="74">
        <v>19</v>
      </c>
      <c r="I16" s="55">
        <f>(H16-G16)/G16</f>
        <v>-0.24</v>
      </c>
      <c r="J16" s="30"/>
    </row>
    <row r="17" spans="1:10" x14ac:dyDescent="0.35">
      <c r="A17" s="70" t="s">
        <v>213</v>
      </c>
      <c r="B17" s="66" t="s">
        <v>29</v>
      </c>
      <c r="C17" s="74">
        <v>33</v>
      </c>
      <c r="D17" s="74">
        <v>49</v>
      </c>
      <c r="E17" s="74">
        <v>50</v>
      </c>
      <c r="F17" s="74">
        <v>22</v>
      </c>
      <c r="G17" s="74">
        <v>28</v>
      </c>
      <c r="H17" s="74">
        <v>29</v>
      </c>
      <c r="I17" s="55">
        <f t="shared" si="0"/>
        <v>-0.12121212121212122</v>
      </c>
      <c r="J17" s="30"/>
    </row>
    <row r="18" spans="1:10" x14ac:dyDescent="0.35">
      <c r="A18" s="70" t="s">
        <v>205</v>
      </c>
      <c r="B18" s="66" t="s">
        <v>30</v>
      </c>
      <c r="C18" s="74">
        <v>3</v>
      </c>
      <c r="D18" s="74">
        <v>4</v>
      </c>
      <c r="E18" s="81" t="s">
        <v>4</v>
      </c>
      <c r="F18" s="81" t="s">
        <v>4</v>
      </c>
      <c r="G18" s="81" t="s">
        <v>4</v>
      </c>
      <c r="H18" s="81" t="s">
        <v>4</v>
      </c>
      <c r="I18" s="131" t="s">
        <v>4</v>
      </c>
      <c r="J18" s="39"/>
    </row>
    <row r="19" spans="1:10" x14ac:dyDescent="0.35">
      <c r="A19" s="70" t="s">
        <v>204</v>
      </c>
      <c r="B19" s="66" t="s">
        <v>31</v>
      </c>
      <c r="C19" s="74">
        <v>25</v>
      </c>
      <c r="D19" s="74">
        <v>8</v>
      </c>
      <c r="E19" s="74">
        <v>10</v>
      </c>
      <c r="F19" s="74">
        <v>16</v>
      </c>
      <c r="G19" s="74">
        <v>15</v>
      </c>
      <c r="H19" s="74">
        <v>16</v>
      </c>
      <c r="I19" s="55">
        <f t="shared" si="0"/>
        <v>-0.36</v>
      </c>
      <c r="J19" s="30"/>
    </row>
    <row r="20" spans="1:10" x14ac:dyDescent="0.35">
      <c r="A20" s="70" t="s">
        <v>210</v>
      </c>
      <c r="B20" s="66" t="s">
        <v>33</v>
      </c>
      <c r="C20" s="74">
        <v>57</v>
      </c>
      <c r="D20" s="74">
        <v>69</v>
      </c>
      <c r="E20" s="74">
        <v>57</v>
      </c>
      <c r="F20" s="74">
        <v>69</v>
      </c>
      <c r="G20" s="74">
        <v>82</v>
      </c>
      <c r="H20" s="74">
        <v>50</v>
      </c>
      <c r="I20" s="55">
        <f t="shared" si="0"/>
        <v>-0.12280701754385964</v>
      </c>
      <c r="J20" s="30"/>
    </row>
    <row r="21" spans="1:10" x14ac:dyDescent="0.35">
      <c r="A21" s="70" t="s">
        <v>205</v>
      </c>
      <c r="B21" s="68" t="s">
        <v>170</v>
      </c>
      <c r="C21" s="74">
        <v>25</v>
      </c>
      <c r="D21" s="74">
        <v>28</v>
      </c>
      <c r="E21" s="74">
        <v>35</v>
      </c>
      <c r="F21" s="74">
        <v>20</v>
      </c>
      <c r="G21" s="74">
        <v>20</v>
      </c>
      <c r="H21" s="74">
        <v>23</v>
      </c>
      <c r="I21" s="55">
        <f t="shared" si="0"/>
        <v>-0.08</v>
      </c>
      <c r="J21" s="30"/>
    </row>
    <row r="22" spans="1:10" x14ac:dyDescent="0.35">
      <c r="A22" s="70" t="s">
        <v>205</v>
      </c>
      <c r="B22" s="66" t="s">
        <v>169</v>
      </c>
      <c r="C22" s="74">
        <v>30</v>
      </c>
      <c r="D22" s="74">
        <v>42</v>
      </c>
      <c r="E22" s="74">
        <v>26</v>
      </c>
      <c r="F22" s="74">
        <v>41</v>
      </c>
      <c r="G22" s="74">
        <v>39</v>
      </c>
      <c r="H22" s="74">
        <v>36</v>
      </c>
      <c r="I22" s="133">
        <f t="shared" si="0"/>
        <v>0.2</v>
      </c>
      <c r="J22" s="30"/>
    </row>
    <row r="23" spans="1:10" x14ac:dyDescent="0.35">
      <c r="A23" s="70" t="s">
        <v>223</v>
      </c>
      <c r="B23" s="66" t="s">
        <v>34</v>
      </c>
      <c r="C23" s="74">
        <v>86</v>
      </c>
      <c r="D23" s="74">
        <v>94</v>
      </c>
      <c r="E23" s="74">
        <v>90</v>
      </c>
      <c r="F23" s="74">
        <v>97</v>
      </c>
      <c r="G23" s="74">
        <v>93</v>
      </c>
      <c r="H23" s="74">
        <v>99</v>
      </c>
      <c r="I23" s="133">
        <f t="shared" si="0"/>
        <v>0.15116279069767441</v>
      </c>
      <c r="J23" s="30"/>
    </row>
    <row r="24" spans="1:10" x14ac:dyDescent="0.35">
      <c r="A24" s="70" t="s">
        <v>205</v>
      </c>
      <c r="B24" s="66" t="s">
        <v>171</v>
      </c>
      <c r="C24" s="74">
        <v>228</v>
      </c>
      <c r="D24" s="74">
        <v>268</v>
      </c>
      <c r="E24" s="74">
        <v>271</v>
      </c>
      <c r="F24" s="74">
        <v>262</v>
      </c>
      <c r="G24" s="74">
        <v>281</v>
      </c>
      <c r="H24" s="74">
        <v>259</v>
      </c>
      <c r="I24" s="133">
        <f t="shared" si="0"/>
        <v>0.13596491228070176</v>
      </c>
      <c r="J24" s="30"/>
    </row>
    <row r="25" spans="1:10" x14ac:dyDescent="0.35">
      <c r="A25" s="70" t="s">
        <v>206</v>
      </c>
      <c r="B25" s="66" t="s">
        <v>35</v>
      </c>
      <c r="C25" s="74">
        <v>40</v>
      </c>
      <c r="D25" s="74">
        <v>32</v>
      </c>
      <c r="E25" s="74">
        <v>25</v>
      </c>
      <c r="F25" s="74">
        <v>20</v>
      </c>
      <c r="G25" s="74">
        <v>22</v>
      </c>
      <c r="H25" s="74">
        <v>23</v>
      </c>
      <c r="I25" s="55">
        <f t="shared" si="0"/>
        <v>-0.42499999999999999</v>
      </c>
      <c r="J25" s="30"/>
    </row>
    <row r="26" spans="1:10" x14ac:dyDescent="0.35">
      <c r="A26" s="70" t="s">
        <v>215</v>
      </c>
      <c r="B26" s="66" t="s">
        <v>175</v>
      </c>
      <c r="C26" s="74">
        <v>123</v>
      </c>
      <c r="D26" s="74">
        <v>204</v>
      </c>
      <c r="E26" s="74">
        <v>236</v>
      </c>
      <c r="F26" s="74">
        <v>276</v>
      </c>
      <c r="G26" s="74">
        <v>176</v>
      </c>
      <c r="H26" s="74">
        <v>129</v>
      </c>
      <c r="I26" s="133">
        <f t="shared" si="0"/>
        <v>4.878048780487805E-2</v>
      </c>
      <c r="J26" s="30"/>
    </row>
    <row r="27" spans="1:10" x14ac:dyDescent="0.35">
      <c r="A27" s="70" t="s">
        <v>215</v>
      </c>
      <c r="B27" s="66" t="s">
        <v>176</v>
      </c>
      <c r="C27" s="74">
        <v>54</v>
      </c>
      <c r="D27" s="74">
        <v>66</v>
      </c>
      <c r="E27" s="74">
        <v>57</v>
      </c>
      <c r="F27" s="74">
        <v>69</v>
      </c>
      <c r="G27" s="74">
        <v>61</v>
      </c>
      <c r="H27" s="74">
        <v>71</v>
      </c>
      <c r="I27" s="133">
        <f t="shared" si="0"/>
        <v>0.31481481481481483</v>
      </c>
      <c r="J27" s="30"/>
    </row>
    <row r="28" spans="1:10" x14ac:dyDescent="0.35">
      <c r="A28" s="70" t="s">
        <v>215</v>
      </c>
      <c r="B28" s="66" t="s">
        <v>177</v>
      </c>
      <c r="C28" s="74">
        <v>30</v>
      </c>
      <c r="D28" s="74">
        <v>58</v>
      </c>
      <c r="E28" s="74">
        <v>76</v>
      </c>
      <c r="F28" s="74">
        <v>65</v>
      </c>
      <c r="G28" s="74">
        <v>69</v>
      </c>
      <c r="H28" s="74">
        <v>48</v>
      </c>
      <c r="I28" s="133">
        <f t="shared" si="0"/>
        <v>0.6</v>
      </c>
      <c r="J28" s="30"/>
    </row>
    <row r="29" spans="1:10" x14ac:dyDescent="0.35">
      <c r="A29" s="70" t="s">
        <v>216</v>
      </c>
      <c r="B29" s="68" t="s">
        <v>38</v>
      </c>
      <c r="C29" s="74">
        <v>91</v>
      </c>
      <c r="D29" s="74">
        <v>88</v>
      </c>
      <c r="E29" s="74">
        <v>79</v>
      </c>
      <c r="F29" s="74">
        <v>93</v>
      </c>
      <c r="G29" s="74">
        <v>146</v>
      </c>
      <c r="H29" s="74">
        <v>81</v>
      </c>
      <c r="I29" s="55">
        <f t="shared" si="0"/>
        <v>-0.10989010989010989</v>
      </c>
      <c r="J29" s="30"/>
    </row>
    <row r="30" spans="1:10" x14ac:dyDescent="0.35">
      <c r="A30" s="70" t="s">
        <v>210</v>
      </c>
      <c r="B30" s="66" t="s">
        <v>39</v>
      </c>
      <c r="C30" s="74">
        <v>80</v>
      </c>
      <c r="D30" s="74">
        <v>81</v>
      </c>
      <c r="E30" s="74">
        <v>78</v>
      </c>
      <c r="F30" s="74">
        <v>72</v>
      </c>
      <c r="G30" s="74">
        <v>78</v>
      </c>
      <c r="H30" s="74">
        <v>40</v>
      </c>
      <c r="I30" s="55">
        <f t="shared" si="0"/>
        <v>-0.5</v>
      </c>
      <c r="J30" s="30"/>
    </row>
    <row r="31" spans="1:10" x14ac:dyDescent="0.35">
      <c r="A31" s="70" t="s">
        <v>205</v>
      </c>
      <c r="B31" s="66" t="s">
        <v>41</v>
      </c>
      <c r="C31" s="74">
        <v>36</v>
      </c>
      <c r="D31" s="74">
        <v>57</v>
      </c>
      <c r="E31" s="74">
        <v>88</v>
      </c>
      <c r="F31" s="74">
        <v>44</v>
      </c>
      <c r="G31" s="74">
        <v>60</v>
      </c>
      <c r="H31" s="74">
        <v>98</v>
      </c>
      <c r="I31" s="133">
        <f t="shared" si="0"/>
        <v>1.7222222222222223</v>
      </c>
      <c r="J31" s="30"/>
    </row>
    <row r="32" spans="1:10" x14ac:dyDescent="0.35">
      <c r="A32" s="70" t="s">
        <v>217</v>
      </c>
      <c r="B32" s="67" t="s">
        <v>43</v>
      </c>
      <c r="C32" s="74">
        <v>15</v>
      </c>
      <c r="D32" s="74">
        <v>10</v>
      </c>
      <c r="E32" s="74">
        <v>10</v>
      </c>
      <c r="F32" s="74">
        <v>10</v>
      </c>
      <c r="G32" s="74">
        <v>13</v>
      </c>
      <c r="H32" s="74">
        <v>12</v>
      </c>
      <c r="I32" s="55">
        <f t="shared" si="0"/>
        <v>-0.2</v>
      </c>
      <c r="J32" s="30"/>
    </row>
    <row r="33" spans="1:10" x14ac:dyDescent="0.35">
      <c r="A33" s="70" t="s">
        <v>212</v>
      </c>
      <c r="B33" s="66" t="s">
        <v>44</v>
      </c>
      <c r="C33" s="74">
        <v>8</v>
      </c>
      <c r="D33" s="74">
        <v>18</v>
      </c>
      <c r="E33" s="74">
        <v>23</v>
      </c>
      <c r="F33" s="74">
        <v>22</v>
      </c>
      <c r="G33" s="74">
        <v>26</v>
      </c>
      <c r="H33" s="74">
        <v>18</v>
      </c>
      <c r="I33" s="133">
        <f t="shared" si="0"/>
        <v>1.25</v>
      </c>
      <c r="J33" s="30"/>
    </row>
    <row r="34" spans="1:10" x14ac:dyDescent="0.35">
      <c r="A34" s="70" t="s">
        <v>200</v>
      </c>
      <c r="B34" s="67" t="s">
        <v>221</v>
      </c>
      <c r="C34" s="75" t="s">
        <v>4</v>
      </c>
      <c r="D34" s="75" t="s">
        <v>4</v>
      </c>
      <c r="E34" s="75" t="s">
        <v>4</v>
      </c>
      <c r="F34" s="75" t="s">
        <v>4</v>
      </c>
      <c r="G34" s="75" t="s">
        <v>4</v>
      </c>
      <c r="H34" s="74">
        <v>37</v>
      </c>
      <c r="I34" s="53" t="s">
        <v>4</v>
      </c>
      <c r="J34" s="30"/>
    </row>
    <row r="35" spans="1:10" x14ac:dyDescent="0.35">
      <c r="A35" s="70" t="s">
        <v>209</v>
      </c>
      <c r="B35" s="66" t="s">
        <v>178</v>
      </c>
      <c r="C35" s="74">
        <v>102</v>
      </c>
      <c r="D35" s="74">
        <v>83</v>
      </c>
      <c r="E35" s="74">
        <v>95</v>
      </c>
      <c r="F35" s="74">
        <v>66</v>
      </c>
      <c r="G35" s="74">
        <v>75</v>
      </c>
      <c r="H35" s="74">
        <v>71</v>
      </c>
      <c r="I35" s="55">
        <f t="shared" si="0"/>
        <v>-0.30392156862745096</v>
      </c>
      <c r="J35" s="30"/>
    </row>
    <row r="36" spans="1:10" x14ac:dyDescent="0.35">
      <c r="A36" s="70" t="s">
        <v>209</v>
      </c>
      <c r="B36" s="66" t="s">
        <v>45</v>
      </c>
      <c r="C36" s="74">
        <v>102</v>
      </c>
      <c r="D36" s="74">
        <v>142</v>
      </c>
      <c r="E36" s="74">
        <v>138</v>
      </c>
      <c r="F36" s="74">
        <v>171</v>
      </c>
      <c r="G36" s="74">
        <v>171</v>
      </c>
      <c r="H36" s="74">
        <v>165</v>
      </c>
      <c r="I36" s="133">
        <f t="shared" si="0"/>
        <v>0.61764705882352944</v>
      </c>
      <c r="J36" s="30"/>
    </row>
    <row r="37" spans="1:10" x14ac:dyDescent="0.35">
      <c r="A37" s="70" t="s">
        <v>209</v>
      </c>
      <c r="B37" s="66" t="s">
        <v>46</v>
      </c>
      <c r="C37" s="74">
        <v>74</v>
      </c>
      <c r="D37" s="74">
        <v>109</v>
      </c>
      <c r="E37" s="74">
        <v>93</v>
      </c>
      <c r="F37" s="74">
        <v>120</v>
      </c>
      <c r="G37" s="74">
        <v>122</v>
      </c>
      <c r="H37" s="74">
        <v>111</v>
      </c>
      <c r="I37" s="133">
        <f t="shared" si="0"/>
        <v>0.5</v>
      </c>
      <c r="J37" s="30"/>
    </row>
    <row r="38" spans="1:10" x14ac:dyDescent="0.35">
      <c r="A38" s="70" t="s">
        <v>209</v>
      </c>
      <c r="B38" s="66" t="s">
        <v>220</v>
      </c>
      <c r="C38" s="74"/>
      <c r="D38" s="74">
        <v>22</v>
      </c>
      <c r="E38" s="74">
        <v>19</v>
      </c>
      <c r="F38" s="74">
        <v>24</v>
      </c>
      <c r="G38" s="74">
        <v>8</v>
      </c>
      <c r="H38" s="74">
        <v>16</v>
      </c>
      <c r="I38" s="55">
        <f>(H38-D38)/D38</f>
        <v>-0.27272727272727271</v>
      </c>
      <c r="J38" s="30"/>
    </row>
    <row r="39" spans="1:10" x14ac:dyDescent="0.35">
      <c r="A39" s="70" t="s">
        <v>209</v>
      </c>
      <c r="B39" s="66" t="s">
        <v>179</v>
      </c>
      <c r="C39" s="74">
        <v>93</v>
      </c>
      <c r="D39" s="74">
        <v>101</v>
      </c>
      <c r="E39" s="74">
        <v>107</v>
      </c>
      <c r="F39" s="74">
        <v>94</v>
      </c>
      <c r="G39" s="74">
        <v>118</v>
      </c>
      <c r="H39" s="74">
        <v>145</v>
      </c>
      <c r="I39" s="133">
        <f t="shared" si="0"/>
        <v>0.55913978494623651</v>
      </c>
      <c r="J39" s="30"/>
    </row>
    <row r="40" spans="1:10" x14ac:dyDescent="0.35">
      <c r="A40" s="70" t="s">
        <v>215</v>
      </c>
      <c r="B40" s="66" t="s">
        <v>47</v>
      </c>
      <c r="C40" s="74">
        <v>62</v>
      </c>
      <c r="D40" s="74">
        <v>59</v>
      </c>
      <c r="E40" s="74">
        <v>70</v>
      </c>
      <c r="F40" s="74">
        <v>68</v>
      </c>
      <c r="G40" s="74">
        <v>84</v>
      </c>
      <c r="H40" s="74">
        <v>75</v>
      </c>
      <c r="I40" s="133">
        <f t="shared" si="0"/>
        <v>0.20967741935483872</v>
      </c>
      <c r="J40" s="30"/>
    </row>
    <row r="41" spans="1:10" x14ac:dyDescent="0.35">
      <c r="A41" s="70" t="s">
        <v>208</v>
      </c>
      <c r="B41" s="66" t="s">
        <v>48</v>
      </c>
      <c r="C41" s="74">
        <v>21</v>
      </c>
      <c r="D41" s="74">
        <v>13</v>
      </c>
      <c r="E41" s="74">
        <v>13</v>
      </c>
      <c r="F41" s="74">
        <v>17</v>
      </c>
      <c r="G41" s="74">
        <v>12</v>
      </c>
      <c r="H41" s="74">
        <v>22</v>
      </c>
      <c r="I41" s="133">
        <f t="shared" si="0"/>
        <v>4.7619047619047616E-2</v>
      </c>
      <c r="J41" s="30"/>
    </row>
    <row r="42" spans="1:10" x14ac:dyDescent="0.35">
      <c r="A42" s="70" t="s">
        <v>212</v>
      </c>
      <c r="B42" s="66" t="s">
        <v>49</v>
      </c>
      <c r="C42" s="74">
        <v>16</v>
      </c>
      <c r="D42" s="74">
        <v>25</v>
      </c>
      <c r="E42" s="74">
        <v>27</v>
      </c>
      <c r="F42" s="74">
        <v>26</v>
      </c>
      <c r="G42" s="74">
        <v>30</v>
      </c>
      <c r="H42" s="74">
        <v>31</v>
      </c>
      <c r="I42" s="133">
        <f t="shared" si="0"/>
        <v>0.9375</v>
      </c>
      <c r="J42" s="30"/>
    </row>
    <row r="43" spans="1:10" x14ac:dyDescent="0.35">
      <c r="A43" s="70" t="s">
        <v>217</v>
      </c>
      <c r="B43" s="66" t="s">
        <v>51</v>
      </c>
      <c r="C43" s="74">
        <v>132</v>
      </c>
      <c r="D43" s="74">
        <v>143</v>
      </c>
      <c r="E43" s="74">
        <v>136</v>
      </c>
      <c r="F43" s="74">
        <v>152</v>
      </c>
      <c r="G43" s="74">
        <v>181</v>
      </c>
      <c r="H43" s="74">
        <v>146</v>
      </c>
      <c r="I43" s="133">
        <f t="shared" si="0"/>
        <v>0.10606060606060606</v>
      </c>
      <c r="J43" s="30"/>
    </row>
    <row r="44" spans="1:10" x14ac:dyDescent="0.35">
      <c r="A44" s="70" t="s">
        <v>207</v>
      </c>
      <c r="B44" s="66" t="s">
        <v>52</v>
      </c>
      <c r="C44" s="74">
        <v>11</v>
      </c>
      <c r="D44" s="74">
        <v>8</v>
      </c>
      <c r="E44" s="74">
        <v>13</v>
      </c>
      <c r="F44" s="74">
        <v>6</v>
      </c>
      <c r="G44" s="74">
        <v>20</v>
      </c>
      <c r="H44" s="74">
        <v>13</v>
      </c>
      <c r="I44" s="133">
        <f t="shared" si="0"/>
        <v>0.18181818181818182</v>
      </c>
      <c r="J44" s="30"/>
    </row>
    <row r="45" spans="1:10" x14ac:dyDescent="0.35">
      <c r="A45" s="70" t="s">
        <v>218</v>
      </c>
      <c r="B45" s="66" t="s">
        <v>53</v>
      </c>
      <c r="C45" s="74">
        <v>13</v>
      </c>
      <c r="D45" s="74">
        <v>15</v>
      </c>
      <c r="E45" s="74">
        <v>10</v>
      </c>
      <c r="F45" s="74">
        <v>16</v>
      </c>
      <c r="G45" s="74">
        <v>12</v>
      </c>
      <c r="H45" s="74">
        <v>9</v>
      </c>
      <c r="I45" s="55">
        <f t="shared" si="0"/>
        <v>-0.30769230769230771</v>
      </c>
      <c r="J45" s="30"/>
    </row>
    <row r="46" spans="1:10" x14ac:dyDescent="0.35">
      <c r="A46" s="70" t="s">
        <v>216</v>
      </c>
      <c r="B46" s="66" t="s">
        <v>55</v>
      </c>
      <c r="C46" s="74">
        <v>18</v>
      </c>
      <c r="D46" s="74">
        <v>14</v>
      </c>
      <c r="E46" s="74">
        <v>12</v>
      </c>
      <c r="F46" s="74">
        <v>13</v>
      </c>
      <c r="G46" s="74">
        <v>10</v>
      </c>
      <c r="H46" s="74">
        <v>9</v>
      </c>
      <c r="I46" s="55">
        <f t="shared" si="0"/>
        <v>-0.5</v>
      </c>
      <c r="J46" s="30"/>
    </row>
    <row r="47" spans="1:10" x14ac:dyDescent="0.35">
      <c r="A47" s="70" t="s">
        <v>225</v>
      </c>
      <c r="B47" s="67" t="s">
        <v>57</v>
      </c>
      <c r="C47" s="75" t="s">
        <v>4</v>
      </c>
      <c r="D47" s="75" t="s">
        <v>4</v>
      </c>
      <c r="E47" s="75" t="s">
        <v>4</v>
      </c>
      <c r="F47" s="75" t="s">
        <v>4</v>
      </c>
      <c r="G47" s="74">
        <v>32</v>
      </c>
      <c r="H47" s="74">
        <v>14</v>
      </c>
      <c r="I47" s="55">
        <f>(H47-G47)/G47</f>
        <v>-0.5625</v>
      </c>
      <c r="J47" s="30"/>
    </row>
    <row r="48" spans="1:10" x14ac:dyDescent="0.35">
      <c r="A48" s="70" t="s">
        <v>216</v>
      </c>
      <c r="B48" s="66" t="s">
        <v>180</v>
      </c>
      <c r="C48" s="74">
        <v>67</v>
      </c>
      <c r="D48" s="74">
        <v>60</v>
      </c>
      <c r="E48" s="74">
        <v>76</v>
      </c>
      <c r="F48" s="74">
        <v>61</v>
      </c>
      <c r="G48" s="74">
        <v>85</v>
      </c>
      <c r="H48" s="74">
        <v>79</v>
      </c>
      <c r="I48" s="133">
        <f t="shared" si="0"/>
        <v>0.17910447761194029</v>
      </c>
      <c r="J48" s="30"/>
    </row>
    <row r="49" spans="1:22" x14ac:dyDescent="0.35">
      <c r="A49" s="70" t="s">
        <v>216</v>
      </c>
      <c r="B49" s="66" t="s">
        <v>58</v>
      </c>
      <c r="C49" s="74">
        <v>57</v>
      </c>
      <c r="D49" s="74">
        <v>51</v>
      </c>
      <c r="E49" s="74">
        <v>49</v>
      </c>
      <c r="F49" s="74">
        <v>35</v>
      </c>
      <c r="G49" s="74">
        <v>44</v>
      </c>
      <c r="H49" s="74">
        <v>73</v>
      </c>
      <c r="I49" s="133">
        <f t="shared" si="0"/>
        <v>0.2807017543859649</v>
      </c>
      <c r="J49" s="30"/>
    </row>
    <row r="50" spans="1:22" x14ac:dyDescent="0.35">
      <c r="A50" s="70" t="s">
        <v>209</v>
      </c>
      <c r="B50" s="66" t="s">
        <v>314</v>
      </c>
      <c r="C50" s="74">
        <v>42</v>
      </c>
      <c r="D50" s="74">
        <v>48</v>
      </c>
      <c r="E50" s="74">
        <v>69</v>
      </c>
      <c r="F50" s="74">
        <v>41</v>
      </c>
      <c r="G50" s="74">
        <v>64</v>
      </c>
      <c r="H50" s="74">
        <v>60</v>
      </c>
      <c r="I50" s="133">
        <f t="shared" si="0"/>
        <v>0.42857142857142855</v>
      </c>
      <c r="J50" s="30"/>
      <c r="P50" s="187" t="s">
        <v>529</v>
      </c>
      <c r="Q50" s="187"/>
      <c r="R50" s="187"/>
      <c r="S50" s="187"/>
      <c r="T50" s="187"/>
      <c r="U50" s="187"/>
      <c r="V50" s="187"/>
    </row>
    <row r="51" spans="1:22" x14ac:dyDescent="0.35">
      <c r="A51" s="70" t="s">
        <v>209</v>
      </c>
      <c r="B51" s="66" t="s">
        <v>60</v>
      </c>
      <c r="C51" s="75" t="s">
        <v>4</v>
      </c>
      <c r="D51" s="81" t="s">
        <v>4</v>
      </c>
      <c r="E51" s="74">
        <v>26</v>
      </c>
      <c r="F51" s="74">
        <v>190</v>
      </c>
      <c r="G51" s="74">
        <v>289</v>
      </c>
      <c r="H51" s="74">
        <v>542</v>
      </c>
      <c r="I51" s="132">
        <f>(H51-E51)/E51</f>
        <v>19.846153846153847</v>
      </c>
      <c r="J51" s="30"/>
      <c r="P51" s="134"/>
      <c r="Q51" s="134"/>
      <c r="R51" s="134"/>
      <c r="S51" s="134"/>
      <c r="T51" s="134"/>
      <c r="U51" s="134"/>
      <c r="V51" s="134"/>
    </row>
    <row r="52" spans="1:22" x14ac:dyDescent="0.35">
      <c r="A52" s="70" t="s">
        <v>209</v>
      </c>
      <c r="B52" s="66" t="s">
        <v>61</v>
      </c>
      <c r="C52" s="74">
        <v>112</v>
      </c>
      <c r="D52" s="74">
        <v>223</v>
      </c>
      <c r="E52" s="74">
        <v>253</v>
      </c>
      <c r="F52" s="74">
        <v>203</v>
      </c>
      <c r="G52" s="74">
        <v>189</v>
      </c>
      <c r="H52" s="74">
        <v>320</v>
      </c>
      <c r="I52" s="133">
        <f t="shared" si="0"/>
        <v>1.8571428571428572</v>
      </c>
      <c r="J52" s="30"/>
      <c r="P52" s="135" t="s">
        <v>63</v>
      </c>
      <c r="Q52" s="134" t="s">
        <v>85</v>
      </c>
      <c r="R52" s="135" t="s">
        <v>186</v>
      </c>
      <c r="S52" s="134" t="s">
        <v>86</v>
      </c>
      <c r="T52" s="135" t="s">
        <v>219</v>
      </c>
      <c r="U52" s="134" t="s">
        <v>87</v>
      </c>
      <c r="V52" s="136" t="s">
        <v>187</v>
      </c>
    </row>
    <row r="53" spans="1:22" x14ac:dyDescent="0.35">
      <c r="A53" s="70" t="s">
        <v>209</v>
      </c>
      <c r="B53" s="66" t="s">
        <v>183</v>
      </c>
      <c r="C53" s="75" t="s">
        <v>4</v>
      </c>
      <c r="D53" s="81" t="s">
        <v>4</v>
      </c>
      <c r="E53" s="81" t="s">
        <v>4</v>
      </c>
      <c r="F53" s="74">
        <v>15</v>
      </c>
      <c r="G53" s="74">
        <v>23</v>
      </c>
      <c r="H53" s="74">
        <v>47</v>
      </c>
      <c r="I53" s="53">
        <f>(H53-F53)/F53</f>
        <v>2.1333333333333333</v>
      </c>
      <c r="J53" s="30"/>
      <c r="P53" s="137" t="s">
        <v>314</v>
      </c>
      <c r="Q53" s="137">
        <v>42</v>
      </c>
      <c r="R53" s="137">
        <v>48</v>
      </c>
      <c r="S53" s="137">
        <v>69</v>
      </c>
      <c r="T53" s="137">
        <v>41</v>
      </c>
      <c r="U53" s="137">
        <v>64</v>
      </c>
      <c r="V53" s="137">
        <v>60</v>
      </c>
    </row>
    <row r="54" spans="1:22" x14ac:dyDescent="0.35">
      <c r="B54" s="66"/>
      <c r="C54" s="76"/>
      <c r="D54" s="76"/>
      <c r="E54" s="76"/>
      <c r="F54" s="76"/>
      <c r="G54" s="76"/>
      <c r="H54" s="76"/>
      <c r="I54" s="56" t="s">
        <v>316</v>
      </c>
      <c r="J54" s="56"/>
      <c r="K54" s="52"/>
      <c r="L54" s="52"/>
      <c r="P54" s="137" t="s">
        <v>60</v>
      </c>
      <c r="Q54" s="137" t="s">
        <v>4</v>
      </c>
      <c r="R54" s="137" t="s">
        <v>4</v>
      </c>
      <c r="S54" s="137">
        <v>26</v>
      </c>
      <c r="T54" s="137">
        <v>190</v>
      </c>
      <c r="U54" s="137">
        <v>289</v>
      </c>
      <c r="V54" s="137">
        <v>542</v>
      </c>
    </row>
    <row r="55" spans="1:22" x14ac:dyDescent="0.35">
      <c r="B55" s="69" t="s">
        <v>222</v>
      </c>
      <c r="C55" s="77">
        <f t="shared" ref="C55:H55" si="1">SUM(C3:C52)</f>
        <v>2438</v>
      </c>
      <c r="D55" s="77">
        <f t="shared" si="1"/>
        <v>2999</v>
      </c>
      <c r="E55" s="77">
        <f t="shared" si="1"/>
        <v>3175</v>
      </c>
      <c r="F55" s="77">
        <f t="shared" si="1"/>
        <v>3154</v>
      </c>
      <c r="G55" s="77">
        <f t="shared" si="1"/>
        <v>3503</v>
      </c>
      <c r="H55" s="77">
        <f t="shared" si="1"/>
        <v>3634</v>
      </c>
      <c r="I55" s="53">
        <f>(H55-D55)/D55</f>
        <v>0.21173724574858285</v>
      </c>
      <c r="J55" s="53"/>
      <c r="P55" s="137" t="s">
        <v>61</v>
      </c>
      <c r="Q55" s="137">
        <v>112</v>
      </c>
      <c r="R55" s="137">
        <v>223</v>
      </c>
      <c r="S55" s="137">
        <v>253</v>
      </c>
      <c r="T55" s="137">
        <v>203</v>
      </c>
      <c r="U55" s="137">
        <v>189</v>
      </c>
      <c r="V55" s="137">
        <v>320</v>
      </c>
    </row>
    <row r="56" spans="1:22" x14ac:dyDescent="0.35">
      <c r="B56" s="69" t="s">
        <v>189</v>
      </c>
      <c r="C56" s="78">
        <f t="shared" ref="C56:H56" si="2">AVERAGE(C3:C53)</f>
        <v>55.409090909090907</v>
      </c>
      <c r="D56" s="78">
        <f t="shared" si="2"/>
        <v>66.644444444444446</v>
      </c>
      <c r="E56" s="78">
        <f t="shared" si="2"/>
        <v>70.555555555555557</v>
      </c>
      <c r="F56" s="78">
        <f t="shared" si="2"/>
        <v>68.891304347826093</v>
      </c>
      <c r="G56" s="78">
        <f t="shared" si="2"/>
        <v>73.458333333333329</v>
      </c>
      <c r="H56" s="78">
        <f t="shared" si="2"/>
        <v>73.62</v>
      </c>
      <c r="I56" s="53">
        <f t="shared" ref="I56:I59" si="3">(H56-D56)/D56</f>
        <v>0.10466822274091368</v>
      </c>
      <c r="J56" s="53"/>
      <c r="P56" s="137" t="s">
        <v>183</v>
      </c>
      <c r="Q56" s="137" t="s">
        <v>4</v>
      </c>
      <c r="R56" s="137" t="s">
        <v>4</v>
      </c>
      <c r="S56" s="137" t="s">
        <v>4</v>
      </c>
      <c r="T56" s="137">
        <v>15</v>
      </c>
      <c r="U56" s="137">
        <v>23</v>
      </c>
      <c r="V56" s="137">
        <v>47</v>
      </c>
    </row>
    <row r="57" spans="1:22" x14ac:dyDescent="0.35">
      <c r="B57" s="69" t="s">
        <v>308</v>
      </c>
      <c r="C57" s="77">
        <f>SUM(C6:C8,C14,C17,C18,C21,C22,C23,C24:C25,C29,C31,C32,C43:C49)</f>
        <v>1092</v>
      </c>
      <c r="D57" s="77">
        <f t="shared" ref="D57:H57" si="4">SUM(D6:D8,D14,D17,D18,D21,D22,D23,D24:D25,D29,D31,D32,D43:D49)</f>
        <v>1249</v>
      </c>
      <c r="E57" s="77">
        <f t="shared" si="4"/>
        <v>1307</v>
      </c>
      <c r="F57" s="77">
        <f t="shared" si="4"/>
        <v>1127</v>
      </c>
      <c r="G57" s="77">
        <f t="shared" si="4"/>
        <v>1354</v>
      </c>
      <c r="H57" s="77">
        <f t="shared" si="4"/>
        <v>1277</v>
      </c>
      <c r="I57" s="53">
        <f t="shared" si="3"/>
        <v>2.2417934347477981E-2</v>
      </c>
      <c r="J57" s="53"/>
      <c r="P57" s="138" t="s">
        <v>222</v>
      </c>
      <c r="Q57" s="138">
        <f>Q53+Q55</f>
        <v>154</v>
      </c>
      <c r="R57" s="138">
        <f>R53+R55</f>
        <v>271</v>
      </c>
      <c r="S57" s="138">
        <f>SUM(S53:S55)</f>
        <v>348</v>
      </c>
      <c r="T57" s="138">
        <f>SUM(T53:T56)</f>
        <v>449</v>
      </c>
      <c r="U57" s="138">
        <f t="shared" ref="U57:V57" si="5">SUM(U53:U56)</f>
        <v>565</v>
      </c>
      <c r="V57" s="138">
        <f t="shared" si="5"/>
        <v>969</v>
      </c>
    </row>
    <row r="58" spans="1:22" x14ac:dyDescent="0.35">
      <c r="B58" s="69" t="s">
        <v>309</v>
      </c>
      <c r="C58" s="77">
        <f>SUM(C3,C11,C15,C33,C35:C39,C42,C50:C53)</f>
        <v>693</v>
      </c>
      <c r="D58" s="77">
        <f t="shared" ref="D58:H58" si="6">SUM(D3,D11,D15,D33,D35:D39,D42,D50:D53)</f>
        <v>926</v>
      </c>
      <c r="E58" s="77">
        <f t="shared" si="6"/>
        <v>1005</v>
      </c>
      <c r="F58" s="77">
        <f t="shared" si="6"/>
        <v>1135</v>
      </c>
      <c r="G58" s="77">
        <f t="shared" si="6"/>
        <v>1290</v>
      </c>
      <c r="H58" s="77">
        <f t="shared" si="6"/>
        <v>1694</v>
      </c>
      <c r="I58" s="53">
        <f t="shared" si="3"/>
        <v>0.82937365010799136</v>
      </c>
      <c r="J58" s="53"/>
    </row>
    <row r="59" spans="1:22" x14ac:dyDescent="0.35">
      <c r="B59" s="69" t="s">
        <v>310</v>
      </c>
      <c r="C59" s="77">
        <f>SUM(C4,C5,C9:C10,C12,C13,C16,C19:C20,C26:C28,C30,C34,C40:C41)</f>
        <v>653</v>
      </c>
      <c r="D59" s="77">
        <f t="shared" ref="D59:H59" si="7">SUM(D4,D5,D9:D10,D12,D13,D16,D19:D20,D26:D28,D30,D34,D40:D41)</f>
        <v>824</v>
      </c>
      <c r="E59" s="77">
        <f t="shared" si="7"/>
        <v>863</v>
      </c>
      <c r="F59" s="77">
        <f t="shared" si="7"/>
        <v>907</v>
      </c>
      <c r="G59" s="77">
        <f t="shared" si="7"/>
        <v>882</v>
      </c>
      <c r="H59" s="77">
        <f t="shared" si="7"/>
        <v>710</v>
      </c>
      <c r="I59" s="53">
        <f t="shared" si="3"/>
        <v>-0.13834951456310679</v>
      </c>
      <c r="J59" s="53"/>
    </row>
    <row r="60" spans="1:22" x14ac:dyDescent="0.35">
      <c r="A60" s="85"/>
      <c r="B60" s="85"/>
      <c r="C60" s="86"/>
      <c r="D60" s="85"/>
      <c r="E60" s="86"/>
      <c r="F60" s="85"/>
      <c r="G60" s="86"/>
      <c r="H60" s="85"/>
      <c r="I60" s="86"/>
      <c r="J60" s="86"/>
      <c r="L60" s="13"/>
      <c r="N60" s="13"/>
    </row>
    <row r="61" spans="1:22" x14ac:dyDescent="0.35">
      <c r="A61" s="85"/>
      <c r="B61" s="85"/>
      <c r="C61" s="85"/>
      <c r="D61" s="85"/>
      <c r="E61" s="85"/>
      <c r="F61" s="85"/>
      <c r="G61" s="85"/>
      <c r="H61" s="85"/>
      <c r="I61" s="85"/>
      <c r="J61" s="85"/>
    </row>
    <row r="62" spans="1:22" x14ac:dyDescent="0.35">
      <c r="A62" s="85"/>
      <c r="B62" s="85"/>
      <c r="C62" s="85"/>
      <c r="D62" s="85"/>
      <c r="E62" s="85"/>
      <c r="F62" s="85"/>
      <c r="G62" s="85"/>
      <c r="H62" s="85"/>
      <c r="I62" s="85"/>
      <c r="J62" s="85"/>
    </row>
    <row r="63" spans="1:22" x14ac:dyDescent="0.35">
      <c r="A63" s="65" t="s">
        <v>251</v>
      </c>
      <c r="B63" s="65"/>
      <c r="C63" s="79"/>
      <c r="D63" s="79"/>
      <c r="E63" s="79"/>
      <c r="F63" s="79"/>
      <c r="G63" s="79"/>
      <c r="H63" s="79"/>
      <c r="I63" s="79"/>
      <c r="J63" s="79"/>
      <c r="K63" s="185" t="s">
        <v>500</v>
      </c>
      <c r="L63" s="90"/>
      <c r="M63" s="8"/>
    </row>
    <row r="64" spans="1:22" x14ac:dyDescent="0.35">
      <c r="A64" s="65" t="s">
        <v>250</v>
      </c>
      <c r="B64" s="65">
        <v>2010</v>
      </c>
      <c r="C64" s="79">
        <v>2011</v>
      </c>
      <c r="D64" s="79">
        <v>2012</v>
      </c>
      <c r="E64" s="79">
        <v>2013</v>
      </c>
      <c r="F64" s="79">
        <v>2014</v>
      </c>
      <c r="G64" s="79">
        <v>2015</v>
      </c>
      <c r="H64" s="79">
        <v>2016</v>
      </c>
      <c r="I64" s="79">
        <v>2017</v>
      </c>
      <c r="J64" s="79">
        <v>2018</v>
      </c>
      <c r="K64" s="185"/>
      <c r="L64" s="90"/>
      <c r="M64" s="8"/>
    </row>
    <row r="65" spans="1:22" x14ac:dyDescent="0.35">
      <c r="A65" s="82" t="s">
        <v>230</v>
      </c>
      <c r="B65" s="70">
        <v>1280</v>
      </c>
      <c r="C65" s="80">
        <v>1622</v>
      </c>
      <c r="D65" s="80">
        <v>1775</v>
      </c>
      <c r="E65" s="80">
        <v>1982</v>
      </c>
      <c r="F65" s="80">
        <v>2012</v>
      </c>
      <c r="G65" s="80">
        <v>2297</v>
      </c>
      <c r="H65" s="80">
        <v>2459</v>
      </c>
      <c r="I65" s="80">
        <v>2249</v>
      </c>
      <c r="J65" s="80">
        <v>2507</v>
      </c>
      <c r="K65" s="87">
        <f>(J65-B65)/B65</f>
        <v>0.95859375000000002</v>
      </c>
    </row>
    <row r="66" spans="1:22" x14ac:dyDescent="0.35">
      <c r="A66" s="82" t="s">
        <v>231</v>
      </c>
      <c r="I66" s="80"/>
      <c r="J66" s="80" t="s">
        <v>496</v>
      </c>
      <c r="K66" s="87"/>
    </row>
    <row r="67" spans="1:22" x14ac:dyDescent="0.35">
      <c r="A67" s="82" t="s">
        <v>232</v>
      </c>
      <c r="B67" s="70">
        <v>44.6</v>
      </c>
      <c r="C67" s="80">
        <v>47.2</v>
      </c>
      <c r="D67" s="80">
        <v>47.1</v>
      </c>
      <c r="E67" s="80">
        <v>48</v>
      </c>
      <c r="F67" s="80">
        <v>47.1</v>
      </c>
      <c r="G67" s="80">
        <v>50.2</v>
      </c>
      <c r="H67" s="80">
        <v>50.6</v>
      </c>
      <c r="I67" s="80">
        <v>49</v>
      </c>
      <c r="J67" s="80">
        <v>51.3</v>
      </c>
      <c r="K67" s="87">
        <f t="shared" ref="K67:K72" si="8">(J67-B67)/B67</f>
        <v>0.15022421524663668</v>
      </c>
    </row>
    <row r="68" spans="1:22" x14ac:dyDescent="0.35">
      <c r="A68" s="82" t="s">
        <v>233</v>
      </c>
      <c r="B68" s="70">
        <v>55.4</v>
      </c>
      <c r="C68" s="80">
        <v>52.8</v>
      </c>
      <c r="D68" s="80">
        <v>52.9</v>
      </c>
      <c r="E68" s="80">
        <v>52</v>
      </c>
      <c r="F68" s="80">
        <v>52.9</v>
      </c>
      <c r="G68" s="80">
        <v>49.8</v>
      </c>
      <c r="H68" s="80">
        <v>49.4</v>
      </c>
      <c r="I68" s="80">
        <v>51</v>
      </c>
      <c r="J68" s="80">
        <v>48.7</v>
      </c>
      <c r="K68" s="88">
        <f t="shared" si="8"/>
        <v>-0.12093862815884469</v>
      </c>
    </row>
    <row r="69" spans="1:22" x14ac:dyDescent="0.35">
      <c r="A69" s="82" t="s">
        <v>252</v>
      </c>
      <c r="I69" s="80"/>
      <c r="J69" s="80"/>
      <c r="K69" s="87"/>
    </row>
    <row r="70" spans="1:22" x14ac:dyDescent="0.35">
      <c r="A70" s="83" t="s">
        <v>234</v>
      </c>
      <c r="I70" s="80"/>
      <c r="J70" s="80"/>
      <c r="K70" s="87"/>
    </row>
    <row r="71" spans="1:22" x14ac:dyDescent="0.35">
      <c r="A71" s="83" t="s">
        <v>235</v>
      </c>
      <c r="B71" s="70">
        <v>13.1</v>
      </c>
      <c r="C71" s="80">
        <v>13</v>
      </c>
      <c r="D71" s="80">
        <v>12.6</v>
      </c>
      <c r="E71" s="80">
        <v>11.6</v>
      </c>
      <c r="F71" s="80">
        <v>12.2</v>
      </c>
      <c r="G71" s="80">
        <v>13.2</v>
      </c>
      <c r="H71" s="80">
        <v>12.8</v>
      </c>
      <c r="I71" s="80">
        <v>13.7</v>
      </c>
      <c r="J71" s="80">
        <v>13.1</v>
      </c>
      <c r="K71" s="87">
        <f t="shared" si="8"/>
        <v>0</v>
      </c>
    </row>
    <row r="72" spans="1:22" x14ac:dyDescent="0.35">
      <c r="A72" s="83" t="s">
        <v>236</v>
      </c>
      <c r="B72" s="70">
        <v>16.7</v>
      </c>
      <c r="C72" s="80">
        <v>17</v>
      </c>
      <c r="D72" s="80">
        <v>16.899999999999999</v>
      </c>
      <c r="E72" s="80">
        <v>18.899999999999999</v>
      </c>
      <c r="F72" s="80">
        <v>19.600000000000001</v>
      </c>
      <c r="G72" s="80">
        <v>17.5</v>
      </c>
      <c r="H72" s="80">
        <v>18.5</v>
      </c>
      <c r="I72" s="80">
        <v>18.100000000000001</v>
      </c>
      <c r="J72" s="80">
        <v>18.899999999999999</v>
      </c>
      <c r="K72" s="87">
        <f t="shared" si="8"/>
        <v>0.13173652694610774</v>
      </c>
    </row>
    <row r="73" spans="1:22" x14ac:dyDescent="0.35">
      <c r="A73" s="83" t="s">
        <v>237</v>
      </c>
      <c r="B73" s="70">
        <v>42.4</v>
      </c>
      <c r="C73" s="80">
        <v>46.9</v>
      </c>
      <c r="D73" s="80">
        <v>45.9</v>
      </c>
      <c r="E73" s="80">
        <v>45.7</v>
      </c>
      <c r="F73" s="80">
        <v>48</v>
      </c>
      <c r="G73" s="80">
        <v>47.5</v>
      </c>
      <c r="H73" s="80">
        <v>49.6</v>
      </c>
      <c r="I73" s="80">
        <v>48.7</v>
      </c>
      <c r="J73" s="80"/>
      <c r="K73" s="89">
        <f t="shared" ref="K73:K74" si="9">(I73-B73)/B73</f>
        <v>0.14858490566037746</v>
      </c>
    </row>
    <row r="74" spans="1:22" x14ac:dyDescent="0.35">
      <c r="A74" s="84" t="s">
        <v>238</v>
      </c>
      <c r="B74" s="70">
        <v>25.9</v>
      </c>
      <c r="C74" s="80">
        <v>22.1</v>
      </c>
      <c r="D74" s="80">
        <v>23.2</v>
      </c>
      <c r="E74" s="80">
        <v>22.1</v>
      </c>
      <c r="F74" s="80">
        <v>19.3</v>
      </c>
      <c r="G74" s="80">
        <v>20.9</v>
      </c>
      <c r="H74" s="80">
        <v>18.2</v>
      </c>
      <c r="I74" s="80">
        <v>18.100000000000001</v>
      </c>
      <c r="J74" s="80"/>
      <c r="K74" s="88">
        <f t="shared" si="9"/>
        <v>-0.30115830115830106</v>
      </c>
    </row>
    <row r="75" spans="1:22" x14ac:dyDescent="0.35">
      <c r="A75" s="83" t="s">
        <v>257</v>
      </c>
      <c r="I75" s="80"/>
      <c r="J75" s="80"/>
      <c r="K75" s="87"/>
    </row>
    <row r="76" spans="1:22" x14ac:dyDescent="0.35">
      <c r="A76" s="83" t="s">
        <v>508</v>
      </c>
      <c r="B76" s="70">
        <v>24.4</v>
      </c>
      <c r="C76" s="80">
        <v>24.3</v>
      </c>
      <c r="D76" s="80">
        <v>23.5</v>
      </c>
      <c r="E76" s="80">
        <v>21.8</v>
      </c>
      <c r="F76" s="80">
        <v>24</v>
      </c>
      <c r="G76" s="80">
        <v>22.2</v>
      </c>
      <c r="H76" s="80">
        <v>22.8</v>
      </c>
      <c r="I76" s="80">
        <v>22.9</v>
      </c>
      <c r="J76" s="80">
        <v>22.2</v>
      </c>
      <c r="K76" s="88">
        <f t="shared" ref="K76:K79" si="10">(J76-B76)/B76</f>
        <v>-9.0163934426229483E-2</v>
      </c>
    </row>
    <row r="77" spans="1:22" x14ac:dyDescent="0.35">
      <c r="A77" s="83" t="s">
        <v>240</v>
      </c>
      <c r="B77" s="70">
        <v>28.4</v>
      </c>
      <c r="C77" s="80">
        <v>30.6</v>
      </c>
      <c r="D77" s="80">
        <v>28.3</v>
      </c>
      <c r="E77" s="80">
        <v>27.3</v>
      </c>
      <c r="F77" s="80">
        <v>27.4</v>
      </c>
      <c r="G77" s="80">
        <v>32.299999999999997</v>
      </c>
      <c r="H77" s="80">
        <v>32.6</v>
      </c>
      <c r="I77" s="80">
        <v>33.200000000000003</v>
      </c>
      <c r="J77" s="80">
        <v>31</v>
      </c>
      <c r="K77" s="87">
        <f t="shared" si="10"/>
        <v>9.1549295774647946E-2</v>
      </c>
    </row>
    <row r="78" spans="1:22" ht="15.5" customHeight="1" x14ac:dyDescent="0.35">
      <c r="A78" s="83" t="s">
        <v>241</v>
      </c>
      <c r="B78" s="70">
        <v>22.9</v>
      </c>
      <c r="C78" s="80">
        <v>21.5</v>
      </c>
      <c r="D78" s="80">
        <v>21.3</v>
      </c>
      <c r="E78" s="80">
        <v>21.8</v>
      </c>
      <c r="F78" s="80">
        <v>22</v>
      </c>
      <c r="G78" s="80">
        <v>21.6</v>
      </c>
      <c r="H78" s="80">
        <v>22</v>
      </c>
      <c r="I78" s="80">
        <v>21.2</v>
      </c>
      <c r="J78" s="80">
        <v>23</v>
      </c>
      <c r="K78" s="87">
        <f t="shared" si="10"/>
        <v>4.366812227074298E-3</v>
      </c>
      <c r="N78" s="183" t="s">
        <v>251</v>
      </c>
      <c r="O78" s="183"/>
      <c r="P78" s="183"/>
      <c r="Q78" s="183"/>
      <c r="R78" s="183"/>
      <c r="S78" s="183"/>
      <c r="T78" s="183"/>
      <c r="U78" s="183"/>
      <c r="V78" s="184"/>
    </row>
    <row r="79" spans="1:22" ht="15.5" customHeight="1" x14ac:dyDescent="0.35">
      <c r="A79" s="83" t="s">
        <v>242</v>
      </c>
      <c r="B79" s="70">
        <v>21.9</v>
      </c>
      <c r="C79" s="80">
        <v>21.6</v>
      </c>
      <c r="D79" s="80">
        <v>24.9</v>
      </c>
      <c r="E79" s="80">
        <v>25.7</v>
      </c>
      <c r="F79" s="80">
        <v>24</v>
      </c>
      <c r="G79" s="80">
        <v>21.1</v>
      </c>
      <c r="H79" s="80">
        <v>20.399999999999999</v>
      </c>
      <c r="I79" s="80">
        <v>21</v>
      </c>
      <c r="J79" s="80">
        <v>22.7</v>
      </c>
      <c r="K79" s="87">
        <f t="shared" si="10"/>
        <v>3.6529680365296836E-2</v>
      </c>
      <c r="N79" s="65" t="s">
        <v>250</v>
      </c>
      <c r="O79" s="79">
        <v>2011</v>
      </c>
      <c r="P79" s="79">
        <v>2012</v>
      </c>
      <c r="Q79" s="79">
        <v>2013</v>
      </c>
      <c r="R79" s="79">
        <v>2014</v>
      </c>
      <c r="S79" s="79">
        <v>2015</v>
      </c>
      <c r="T79" s="79">
        <v>2016</v>
      </c>
      <c r="U79" s="79">
        <v>2017</v>
      </c>
      <c r="V79" s="79">
        <v>2018</v>
      </c>
    </row>
    <row r="80" spans="1:22" x14ac:dyDescent="0.35">
      <c r="A80" s="82" t="s">
        <v>253</v>
      </c>
      <c r="I80" s="80"/>
      <c r="J80" s="80"/>
      <c r="K80" s="87"/>
      <c r="N80" s="144" t="s">
        <v>315</v>
      </c>
      <c r="O80" s="145"/>
      <c r="P80" s="145"/>
      <c r="Q80" s="145"/>
      <c r="R80" s="145"/>
      <c r="S80" s="145"/>
      <c r="T80" s="145"/>
      <c r="U80" s="145"/>
      <c r="V80" s="145"/>
    </row>
    <row r="81" spans="1:23" ht="31.5" customHeight="1" x14ac:dyDescent="0.35">
      <c r="A81" s="83" t="s">
        <v>315</v>
      </c>
      <c r="I81" s="80"/>
      <c r="J81" s="80"/>
      <c r="K81" s="87"/>
      <c r="N81" s="146" t="s">
        <v>243</v>
      </c>
      <c r="O81" s="52">
        <v>52.1</v>
      </c>
      <c r="P81" s="52">
        <v>52.1</v>
      </c>
      <c r="Q81" s="52">
        <v>53.2</v>
      </c>
      <c r="R81" s="52">
        <v>52.3</v>
      </c>
      <c r="S81" s="52">
        <v>50.1</v>
      </c>
      <c r="T81" s="52">
        <v>49.2</v>
      </c>
      <c r="U81" s="52">
        <v>48.4</v>
      </c>
      <c r="V81" s="52">
        <v>48.6</v>
      </c>
    </row>
    <row r="82" spans="1:23" ht="19.5" customHeight="1" x14ac:dyDescent="0.35">
      <c r="A82" s="84" t="s">
        <v>243</v>
      </c>
      <c r="B82" s="71" t="s">
        <v>4</v>
      </c>
      <c r="C82" s="76">
        <v>52.1</v>
      </c>
      <c r="D82" s="76">
        <v>52.1</v>
      </c>
      <c r="E82" s="76">
        <v>53.2</v>
      </c>
      <c r="F82" s="76">
        <v>52.3</v>
      </c>
      <c r="G82" s="76">
        <v>50.1</v>
      </c>
      <c r="H82" s="76">
        <v>49.2</v>
      </c>
      <c r="I82" s="76">
        <v>48.4</v>
      </c>
      <c r="J82" s="76">
        <v>48.6</v>
      </c>
      <c r="K82" s="88">
        <f>(J82-C82)/C82</f>
        <v>-6.71785028790787E-2</v>
      </c>
      <c r="N82" s="146" t="s">
        <v>244</v>
      </c>
      <c r="O82" s="52">
        <v>22.9</v>
      </c>
      <c r="P82" s="52">
        <v>22.4</v>
      </c>
      <c r="Q82" s="52">
        <v>21.1</v>
      </c>
      <c r="R82" s="52">
        <v>20.5</v>
      </c>
      <c r="S82" s="52">
        <v>20.100000000000001</v>
      </c>
      <c r="T82" s="52">
        <v>21</v>
      </c>
      <c r="U82" s="52">
        <v>19.2</v>
      </c>
      <c r="V82" s="52">
        <v>19.899999999999999</v>
      </c>
    </row>
    <row r="83" spans="1:23" ht="31" x14ac:dyDescent="0.35">
      <c r="A83" s="84" t="s">
        <v>244</v>
      </c>
      <c r="B83" s="71" t="s">
        <v>4</v>
      </c>
      <c r="C83" s="76">
        <v>22.9</v>
      </c>
      <c r="D83" s="76">
        <v>22.4</v>
      </c>
      <c r="E83" s="76">
        <v>21.1</v>
      </c>
      <c r="F83" s="76">
        <v>20.5</v>
      </c>
      <c r="G83" s="76">
        <v>20.100000000000001</v>
      </c>
      <c r="H83" s="76">
        <v>21</v>
      </c>
      <c r="I83" s="76">
        <v>19.2</v>
      </c>
      <c r="J83" s="76">
        <v>19.899999999999999</v>
      </c>
      <c r="K83" s="88">
        <f t="shared" ref="K83:K88" si="11">(J83-C83)/C83</f>
        <v>-0.13100436681222707</v>
      </c>
      <c r="N83" s="147" t="s">
        <v>509</v>
      </c>
      <c r="O83" s="50">
        <v>10.199999999999999</v>
      </c>
      <c r="P83" s="50">
        <v>9.4</v>
      </c>
      <c r="Q83" s="50">
        <v>9.4</v>
      </c>
      <c r="R83" s="50">
        <v>10.199999999999999</v>
      </c>
      <c r="S83" s="50">
        <v>10.6</v>
      </c>
      <c r="T83" s="50">
        <v>9.8000000000000007</v>
      </c>
      <c r="U83" s="50">
        <v>10.7</v>
      </c>
      <c r="V83" s="50">
        <v>11</v>
      </c>
    </row>
    <row r="84" spans="1:23" ht="31" x14ac:dyDescent="0.35">
      <c r="A84" s="84" t="s">
        <v>509</v>
      </c>
      <c r="B84" s="71" t="s">
        <v>4</v>
      </c>
      <c r="C84" s="76">
        <v>10.199999999999999</v>
      </c>
      <c r="D84" s="76">
        <v>9.4</v>
      </c>
      <c r="E84" s="76">
        <v>9.4</v>
      </c>
      <c r="F84" s="76">
        <v>10.199999999999999</v>
      </c>
      <c r="G84" s="76">
        <v>10.6</v>
      </c>
      <c r="H84" s="76">
        <v>9.8000000000000007</v>
      </c>
      <c r="I84" s="76">
        <v>10.7</v>
      </c>
      <c r="J84" s="76">
        <v>11</v>
      </c>
      <c r="K84" s="87">
        <f t="shared" si="11"/>
        <v>7.8431372549019676E-2</v>
      </c>
      <c r="N84" s="146" t="s">
        <v>532</v>
      </c>
      <c r="O84" s="52">
        <v>9.4</v>
      </c>
      <c r="P84" s="52">
        <v>10.3</v>
      </c>
      <c r="Q84" s="52">
        <v>9</v>
      </c>
      <c r="R84" s="52">
        <v>8.9</v>
      </c>
      <c r="S84" s="52">
        <v>10.3</v>
      </c>
      <c r="T84" s="52">
        <v>9.9</v>
      </c>
      <c r="U84" s="52">
        <v>10.199999999999999</v>
      </c>
      <c r="V84" s="52">
        <v>9.8000000000000007</v>
      </c>
    </row>
    <row r="85" spans="1:23" x14ac:dyDescent="0.35">
      <c r="A85" s="84" t="s">
        <v>504</v>
      </c>
      <c r="B85" s="71" t="s">
        <v>4</v>
      </c>
      <c r="C85" s="76">
        <v>9.4</v>
      </c>
      <c r="D85" s="76">
        <v>10.3</v>
      </c>
      <c r="E85" s="76">
        <v>9</v>
      </c>
      <c r="F85" s="76">
        <v>8.9</v>
      </c>
      <c r="G85" s="76">
        <v>10.3</v>
      </c>
      <c r="H85" s="76">
        <v>9.9</v>
      </c>
      <c r="I85" s="76">
        <v>10.199999999999999</v>
      </c>
      <c r="J85" s="76">
        <v>9.8000000000000007</v>
      </c>
      <c r="K85" s="87">
        <f t="shared" si="11"/>
        <v>4.2553191489361736E-2</v>
      </c>
      <c r="N85" s="146" t="s">
        <v>505</v>
      </c>
      <c r="O85" s="52">
        <v>1.4</v>
      </c>
      <c r="P85" s="52">
        <v>1.6</v>
      </c>
      <c r="Q85" s="52">
        <v>1.3</v>
      </c>
      <c r="R85" s="52">
        <v>1.9</v>
      </c>
      <c r="S85" s="52">
        <v>1.9</v>
      </c>
      <c r="T85" s="52">
        <v>1.7</v>
      </c>
      <c r="U85" s="52">
        <v>1.9</v>
      </c>
      <c r="V85" s="52">
        <v>1.9</v>
      </c>
    </row>
    <row r="86" spans="1:23" x14ac:dyDescent="0.35">
      <c r="A86" s="84" t="s">
        <v>505</v>
      </c>
      <c r="B86" s="71" t="s">
        <v>4</v>
      </c>
      <c r="C86" s="76">
        <v>1.4</v>
      </c>
      <c r="D86" s="76">
        <v>1.6</v>
      </c>
      <c r="E86" s="76">
        <v>1.3</v>
      </c>
      <c r="F86" s="76">
        <v>1.9</v>
      </c>
      <c r="G86" s="76">
        <v>1.9</v>
      </c>
      <c r="H86" s="76">
        <v>1.7</v>
      </c>
      <c r="I86" s="76">
        <v>1.9</v>
      </c>
      <c r="J86" s="76">
        <v>1.9</v>
      </c>
      <c r="K86" s="87">
        <f t="shared" si="11"/>
        <v>0.35714285714285715</v>
      </c>
      <c r="N86" s="146" t="s">
        <v>506</v>
      </c>
      <c r="O86" s="52">
        <v>0.4</v>
      </c>
      <c r="P86" s="52">
        <v>0.3</v>
      </c>
      <c r="Q86" s="52">
        <v>1</v>
      </c>
      <c r="R86" s="52">
        <v>0.7</v>
      </c>
      <c r="S86" s="52">
        <v>0.9</v>
      </c>
      <c r="T86" s="52">
        <v>1.1000000000000001</v>
      </c>
      <c r="U86" s="52">
        <v>1</v>
      </c>
      <c r="V86" s="52">
        <v>0.7</v>
      </c>
    </row>
    <row r="87" spans="1:23" x14ac:dyDescent="0.35">
      <c r="A87" s="84" t="s">
        <v>506</v>
      </c>
      <c r="B87" s="71" t="s">
        <v>4</v>
      </c>
      <c r="C87" s="76">
        <v>0.4</v>
      </c>
      <c r="D87" s="76">
        <v>0.3</v>
      </c>
      <c r="E87" s="76">
        <v>1</v>
      </c>
      <c r="F87" s="76">
        <v>0.7</v>
      </c>
      <c r="G87" s="76">
        <v>0.9</v>
      </c>
      <c r="H87" s="76">
        <v>1.1000000000000001</v>
      </c>
      <c r="I87" s="76">
        <v>1</v>
      </c>
      <c r="J87" s="76">
        <v>0.7</v>
      </c>
      <c r="K87" s="87">
        <f t="shared" si="11"/>
        <v>0.74999999999999978</v>
      </c>
      <c r="N87" s="146" t="s">
        <v>248</v>
      </c>
      <c r="O87" s="52">
        <v>3.6</v>
      </c>
      <c r="P87" s="52">
        <v>3.8</v>
      </c>
      <c r="Q87" s="52">
        <v>5</v>
      </c>
      <c r="R87" s="52">
        <v>5.5</v>
      </c>
      <c r="S87" s="52">
        <v>6.1</v>
      </c>
      <c r="T87" s="52">
        <v>7.4</v>
      </c>
      <c r="U87" s="52">
        <v>8.6999999999999993</v>
      </c>
      <c r="V87" s="52">
        <v>8.1</v>
      </c>
    </row>
    <row r="88" spans="1:23" x14ac:dyDescent="0.35">
      <c r="A88" s="83" t="s">
        <v>248</v>
      </c>
      <c r="B88" s="71" t="s">
        <v>4</v>
      </c>
      <c r="C88" s="76">
        <v>3.6</v>
      </c>
      <c r="D88" s="76">
        <v>3.8</v>
      </c>
      <c r="E88" s="76">
        <v>5</v>
      </c>
      <c r="F88" s="76">
        <v>5.5</v>
      </c>
      <c r="G88" s="76">
        <v>6.1</v>
      </c>
      <c r="H88" s="76">
        <v>7.4</v>
      </c>
      <c r="I88" s="76">
        <v>8.6999999999999993</v>
      </c>
      <c r="J88" s="76">
        <v>8.1</v>
      </c>
      <c r="K88" s="87">
        <f t="shared" si="11"/>
        <v>1.25</v>
      </c>
    </row>
    <row r="89" spans="1:23" x14ac:dyDescent="0.35">
      <c r="A89" s="110" t="s">
        <v>501</v>
      </c>
      <c r="B89" s="80"/>
      <c r="H89" s="70"/>
      <c r="I89" s="80"/>
      <c r="J89" s="70"/>
      <c r="K89" s="111"/>
    </row>
    <row r="90" spans="1:23" x14ac:dyDescent="0.35">
      <c r="A90" s="83"/>
      <c r="B90" s="80"/>
      <c r="H90" s="70"/>
      <c r="I90" s="80"/>
      <c r="J90" s="70"/>
      <c r="K90" s="111"/>
    </row>
    <row r="91" spans="1:23" ht="31" x14ac:dyDescent="0.35">
      <c r="A91" s="84" t="s">
        <v>502</v>
      </c>
      <c r="B91" s="80">
        <v>19</v>
      </c>
      <c r="C91" s="80">
        <v>17.3</v>
      </c>
      <c r="D91" s="80">
        <v>18.399999999999999</v>
      </c>
      <c r="E91" s="80">
        <v>16.7</v>
      </c>
      <c r="F91" s="80">
        <v>17.7</v>
      </c>
      <c r="G91" s="80">
        <v>19.7</v>
      </c>
      <c r="H91" s="70">
        <v>21.1</v>
      </c>
      <c r="I91" s="80">
        <v>21.7</v>
      </c>
      <c r="J91" s="70">
        <v>21.6</v>
      </c>
      <c r="K91" s="87">
        <f t="shared" ref="K91:K95" si="12">(J91-B91)/B91</f>
        <v>0.13684210526315796</v>
      </c>
      <c r="N91" s="183" t="s">
        <v>251</v>
      </c>
      <c r="O91" s="183"/>
      <c r="P91" s="183"/>
      <c r="Q91" s="183"/>
      <c r="R91" s="183"/>
      <c r="S91" s="183"/>
      <c r="T91" s="183"/>
      <c r="U91" s="183"/>
      <c r="V91" s="183"/>
      <c r="W91" s="183"/>
    </row>
    <row r="92" spans="1:23" ht="17" customHeight="1" x14ac:dyDescent="0.35">
      <c r="A92" s="115" t="s">
        <v>503</v>
      </c>
      <c r="B92" s="80">
        <v>11.6</v>
      </c>
      <c r="C92" s="80">
        <v>10.8</v>
      </c>
      <c r="D92" s="80">
        <v>12</v>
      </c>
      <c r="E92" s="80">
        <v>11.1</v>
      </c>
      <c r="F92" s="80">
        <v>11.6</v>
      </c>
      <c r="G92" s="80">
        <v>12.3</v>
      </c>
      <c r="H92" s="70">
        <v>14.6</v>
      </c>
      <c r="I92" s="80">
        <v>14.5</v>
      </c>
      <c r="J92" s="70">
        <v>14.2</v>
      </c>
      <c r="K92" s="87">
        <f t="shared" si="12"/>
        <v>0.22413793103448273</v>
      </c>
      <c r="N92" s="148" t="s">
        <v>250</v>
      </c>
      <c r="O92" s="148">
        <v>2010</v>
      </c>
      <c r="P92" s="148">
        <v>2011</v>
      </c>
      <c r="Q92" s="148">
        <v>2012</v>
      </c>
      <c r="R92" s="148">
        <v>2013</v>
      </c>
      <c r="S92" s="148">
        <v>2014</v>
      </c>
      <c r="T92" s="148">
        <v>2015</v>
      </c>
      <c r="U92" s="148">
        <v>2016</v>
      </c>
      <c r="V92" s="148">
        <v>2017</v>
      </c>
      <c r="W92" s="148">
        <v>2018</v>
      </c>
    </row>
    <row r="93" spans="1:23" ht="31" x14ac:dyDescent="0.35">
      <c r="A93" s="84" t="s">
        <v>497</v>
      </c>
      <c r="B93" s="80">
        <v>4.0999999999999996</v>
      </c>
      <c r="C93" s="80">
        <v>3.7</v>
      </c>
      <c r="D93" s="80">
        <v>4</v>
      </c>
      <c r="E93" s="80">
        <v>2.7</v>
      </c>
      <c r="F93" s="80">
        <v>3.7</v>
      </c>
      <c r="G93" s="80">
        <v>5.3</v>
      </c>
      <c r="H93" s="70">
        <v>4.5999999999999996</v>
      </c>
      <c r="I93" s="80">
        <v>4.5999999999999996</v>
      </c>
      <c r="J93" s="70">
        <v>5.2</v>
      </c>
      <c r="K93" s="87">
        <f t="shared" si="12"/>
        <v>0.2682926829268294</v>
      </c>
      <c r="N93" s="149" t="s">
        <v>502</v>
      </c>
      <c r="O93" s="50">
        <v>19</v>
      </c>
      <c r="P93" s="50">
        <v>17.3</v>
      </c>
      <c r="Q93" s="50">
        <v>18.399999999999999</v>
      </c>
      <c r="R93" s="50">
        <v>16.7</v>
      </c>
      <c r="S93" s="50">
        <v>17.7</v>
      </c>
      <c r="T93" s="50">
        <v>19.7</v>
      </c>
      <c r="U93" s="50">
        <v>21.1</v>
      </c>
      <c r="V93" s="50">
        <v>21.7</v>
      </c>
      <c r="W93" s="50">
        <v>21.6</v>
      </c>
    </row>
    <row r="94" spans="1:23" x14ac:dyDescent="0.35">
      <c r="A94" s="84" t="s">
        <v>498</v>
      </c>
      <c r="B94" s="80">
        <v>3.2</v>
      </c>
      <c r="C94" s="80">
        <v>2.8</v>
      </c>
      <c r="D94" s="80">
        <v>2.2999999999999998</v>
      </c>
      <c r="E94" s="80">
        <v>2.9</v>
      </c>
      <c r="F94" s="80">
        <v>2.4</v>
      </c>
      <c r="G94" s="80">
        <v>2</v>
      </c>
      <c r="H94" s="70">
        <v>1.9</v>
      </c>
      <c r="I94" s="80">
        <v>2.5</v>
      </c>
      <c r="J94" s="70">
        <v>1.5</v>
      </c>
      <c r="K94" s="88">
        <f t="shared" si="12"/>
        <v>-0.53125</v>
      </c>
      <c r="N94" s="150" t="s">
        <v>503</v>
      </c>
      <c r="O94" s="52">
        <v>11.6</v>
      </c>
      <c r="P94" s="52">
        <v>10.8</v>
      </c>
      <c r="Q94" s="52">
        <v>12</v>
      </c>
      <c r="R94" s="52">
        <v>11.1</v>
      </c>
      <c r="S94" s="52">
        <v>11.6</v>
      </c>
      <c r="T94" s="52">
        <v>12.3</v>
      </c>
      <c r="U94" s="52">
        <v>14.6</v>
      </c>
      <c r="V94" s="52">
        <v>14.5</v>
      </c>
      <c r="W94" s="52">
        <v>14.2</v>
      </c>
    </row>
    <row r="95" spans="1:23" ht="21.5" customHeight="1" x14ac:dyDescent="0.35">
      <c r="A95" s="112" t="s">
        <v>499</v>
      </c>
      <c r="B95" s="113">
        <v>80.7</v>
      </c>
      <c r="C95" s="113">
        <v>82.3</v>
      </c>
      <c r="D95" s="113">
        <v>81.3</v>
      </c>
      <c r="E95" s="113">
        <v>82.9</v>
      </c>
      <c r="F95" s="113">
        <v>82</v>
      </c>
      <c r="G95" s="113">
        <v>79.099999999999994</v>
      </c>
      <c r="H95" s="82">
        <v>78.599999999999994</v>
      </c>
      <c r="I95" s="113">
        <v>78.2</v>
      </c>
      <c r="J95" s="82">
        <v>78.3</v>
      </c>
      <c r="K95" s="114">
        <f t="shared" si="12"/>
        <v>-2.973977695167293E-2</v>
      </c>
      <c r="N95" s="150" t="s">
        <v>533</v>
      </c>
      <c r="O95" s="52">
        <v>4.0999999999999996</v>
      </c>
      <c r="P95" s="52">
        <v>3.7</v>
      </c>
      <c r="Q95" s="52">
        <v>4</v>
      </c>
      <c r="R95" s="52">
        <v>2.7</v>
      </c>
      <c r="S95" s="52">
        <v>3.7</v>
      </c>
      <c r="T95" s="52">
        <v>5.3</v>
      </c>
      <c r="U95" s="52">
        <v>4.5999999999999996</v>
      </c>
      <c r="V95" s="52">
        <v>4.5999999999999996</v>
      </c>
      <c r="W95" s="52">
        <v>5.2</v>
      </c>
    </row>
    <row r="96" spans="1:23" x14ac:dyDescent="0.35">
      <c r="A96" s="85"/>
      <c r="B96" s="85"/>
      <c r="C96" s="85"/>
      <c r="D96" s="85"/>
      <c r="E96" s="85"/>
      <c r="F96" s="85"/>
      <c r="G96" s="85"/>
      <c r="H96" s="85"/>
      <c r="I96" s="85"/>
      <c r="J96" s="85"/>
      <c r="K96" s="85"/>
      <c r="N96" s="150" t="s">
        <v>498</v>
      </c>
      <c r="O96" s="52">
        <v>3.2</v>
      </c>
      <c r="P96" s="52">
        <v>2.8</v>
      </c>
      <c r="Q96" s="52">
        <v>2.2999999999999998</v>
      </c>
      <c r="R96" s="52">
        <v>2.9</v>
      </c>
      <c r="S96" s="52">
        <v>2.4</v>
      </c>
      <c r="T96" s="52">
        <v>2</v>
      </c>
      <c r="U96" s="52">
        <v>1.9</v>
      </c>
      <c r="V96" s="52">
        <v>2.5</v>
      </c>
      <c r="W96" s="52">
        <v>1.5</v>
      </c>
    </row>
    <row r="97" spans="1:23" ht="20.5" customHeight="1" x14ac:dyDescent="0.35">
      <c r="A97" s="85"/>
      <c r="B97" s="85"/>
      <c r="C97" s="85"/>
      <c r="D97" s="85"/>
      <c r="E97" s="85"/>
      <c r="F97" s="85"/>
      <c r="G97" s="85"/>
      <c r="H97" s="85"/>
      <c r="I97" s="85"/>
      <c r="J97" s="85"/>
      <c r="K97" s="85"/>
      <c r="N97" s="150" t="s">
        <v>499</v>
      </c>
      <c r="O97" s="52">
        <v>80.7</v>
      </c>
      <c r="P97" s="52">
        <v>82.3</v>
      </c>
      <c r="Q97" s="52">
        <v>81.3</v>
      </c>
      <c r="R97" s="52">
        <v>82.9</v>
      </c>
      <c r="S97" s="52">
        <v>82</v>
      </c>
      <c r="T97" s="52">
        <v>79.099999999999994</v>
      </c>
      <c r="U97" s="52">
        <v>78.599999999999994</v>
      </c>
      <c r="V97" s="52">
        <v>78.2</v>
      </c>
      <c r="W97" s="52">
        <v>78.3</v>
      </c>
    </row>
    <row r="98" spans="1:23" x14ac:dyDescent="0.35">
      <c r="A98" s="85"/>
      <c r="B98" s="85"/>
      <c r="C98" s="85"/>
      <c r="D98" s="85"/>
      <c r="E98" s="85"/>
      <c r="F98" s="85"/>
      <c r="G98" s="85"/>
      <c r="H98" s="85"/>
      <c r="I98" s="85"/>
      <c r="J98" s="85"/>
      <c r="K98" s="85"/>
    </row>
    <row r="99" spans="1:23" x14ac:dyDescent="0.35">
      <c r="A99" s="85"/>
      <c r="B99" s="85"/>
      <c r="C99" s="85"/>
      <c r="D99" s="85"/>
      <c r="E99" s="85"/>
      <c r="F99" s="85"/>
      <c r="G99" s="85"/>
      <c r="H99" s="85"/>
      <c r="I99" s="85"/>
      <c r="J99" s="85"/>
      <c r="K99" s="85"/>
    </row>
    <row r="100" spans="1:23" x14ac:dyDescent="0.35">
      <c r="A100" s="85"/>
      <c r="B100" s="85"/>
      <c r="C100" s="85"/>
      <c r="D100" s="85"/>
      <c r="E100" s="85"/>
      <c r="F100" s="85"/>
      <c r="G100" s="85"/>
      <c r="H100" s="85"/>
      <c r="I100" s="85"/>
      <c r="J100" s="85"/>
      <c r="K100" s="85"/>
    </row>
    <row r="101" spans="1:23" x14ac:dyDescent="0.35">
      <c r="A101" s="85"/>
      <c r="B101" s="85"/>
      <c r="C101" s="85"/>
      <c r="D101" s="85"/>
      <c r="E101" s="85"/>
      <c r="F101" s="85"/>
      <c r="G101" s="85"/>
      <c r="H101" s="85"/>
      <c r="I101" s="85"/>
      <c r="J101" s="85"/>
      <c r="K101" s="85"/>
    </row>
    <row r="102" spans="1:23" x14ac:dyDescent="0.35">
      <c r="A102" s="85"/>
      <c r="B102" s="85"/>
      <c r="C102" s="85"/>
      <c r="D102" s="85"/>
      <c r="E102" s="85"/>
      <c r="F102" s="85"/>
      <c r="G102" s="85"/>
      <c r="H102" s="85"/>
      <c r="I102" s="85"/>
      <c r="J102" s="85"/>
      <c r="K102" s="85"/>
    </row>
    <row r="103" spans="1:23" x14ac:dyDescent="0.35">
      <c r="A103" s="85"/>
      <c r="B103" s="85"/>
      <c r="C103" s="85"/>
      <c r="D103" s="85"/>
      <c r="E103" s="85"/>
      <c r="F103" s="85"/>
      <c r="G103" s="85"/>
      <c r="H103" s="85"/>
      <c r="I103" s="85"/>
      <c r="J103" s="85"/>
      <c r="K103" s="85"/>
    </row>
    <row r="104" spans="1:23" x14ac:dyDescent="0.35">
      <c r="A104" s="85"/>
      <c r="B104" s="85"/>
      <c r="C104" s="85"/>
      <c r="D104" s="85"/>
      <c r="E104" s="85"/>
      <c r="F104" s="85"/>
      <c r="G104" s="85"/>
      <c r="H104" s="85"/>
      <c r="I104" s="85"/>
      <c r="J104" s="85"/>
      <c r="K104" s="85"/>
    </row>
    <row r="105" spans="1:23" x14ac:dyDescent="0.35">
      <c r="A105" s="85"/>
      <c r="B105" s="85"/>
      <c r="C105" s="85"/>
      <c r="D105" s="85"/>
      <c r="E105" s="85"/>
      <c r="F105" s="85"/>
      <c r="G105" s="85"/>
      <c r="H105" s="85"/>
      <c r="I105" s="85"/>
      <c r="J105" s="85"/>
      <c r="K105" s="85"/>
    </row>
    <row r="106" spans="1:23" x14ac:dyDescent="0.35">
      <c r="A106" s="85"/>
      <c r="B106" s="85"/>
      <c r="C106" s="85"/>
      <c r="D106" s="85"/>
      <c r="E106" s="85"/>
      <c r="F106" s="85"/>
      <c r="G106" s="85"/>
      <c r="H106" s="85"/>
      <c r="I106" s="85"/>
      <c r="J106" s="85"/>
      <c r="K106" s="85"/>
    </row>
    <row r="107" spans="1:23" x14ac:dyDescent="0.35">
      <c r="A107" s="85"/>
      <c r="B107" s="85"/>
      <c r="C107" s="85"/>
      <c r="D107" s="85"/>
      <c r="E107" s="85"/>
      <c r="F107" s="85"/>
      <c r="G107" s="85"/>
      <c r="H107" s="85"/>
      <c r="I107" s="85"/>
      <c r="J107" s="85"/>
      <c r="K107" s="85"/>
    </row>
    <row r="108" spans="1:23" x14ac:dyDescent="0.35">
      <c r="A108" s="85"/>
      <c r="B108" s="85"/>
      <c r="C108" s="85"/>
      <c r="D108" s="85"/>
      <c r="E108" s="85"/>
      <c r="F108" s="85"/>
      <c r="G108" s="85"/>
      <c r="H108" s="85"/>
      <c r="I108" s="85"/>
      <c r="J108" s="85"/>
      <c r="K108" s="85"/>
    </row>
    <row r="109" spans="1:23" x14ac:dyDescent="0.35">
      <c r="A109" s="85"/>
      <c r="B109" s="85"/>
      <c r="C109" s="85"/>
      <c r="D109" s="85"/>
      <c r="E109" s="85"/>
      <c r="F109" s="85"/>
      <c r="G109" s="85"/>
      <c r="H109" s="85"/>
      <c r="I109" s="85"/>
      <c r="J109" s="85"/>
      <c r="K109" s="85"/>
    </row>
    <row r="110" spans="1:23" x14ac:dyDescent="0.35">
      <c r="A110" s="85"/>
      <c r="B110" s="85"/>
      <c r="C110" s="85"/>
      <c r="D110" s="85"/>
      <c r="E110" s="85"/>
      <c r="F110" s="85"/>
      <c r="G110" s="85"/>
      <c r="H110" s="85"/>
      <c r="I110" s="85"/>
      <c r="J110" s="85"/>
      <c r="K110" s="85"/>
    </row>
    <row r="111" spans="1:23" x14ac:dyDescent="0.35">
      <c r="A111" s="85"/>
      <c r="B111" s="85"/>
      <c r="C111" s="85"/>
      <c r="D111" s="85"/>
      <c r="E111" s="85"/>
      <c r="F111" s="85"/>
      <c r="G111" s="85"/>
      <c r="H111" s="85"/>
      <c r="I111" s="85"/>
      <c r="J111" s="85"/>
      <c r="K111" s="85"/>
    </row>
    <row r="112" spans="1:23" x14ac:dyDescent="0.35">
      <c r="A112" s="85"/>
      <c r="B112" s="85"/>
      <c r="C112" s="85"/>
      <c r="D112" s="85"/>
      <c r="E112" s="85"/>
      <c r="F112" s="85"/>
      <c r="G112" s="85"/>
      <c r="H112" s="85"/>
      <c r="I112" s="85"/>
      <c r="J112" s="85"/>
      <c r="K112" s="85"/>
    </row>
    <row r="113" spans="1:11" x14ac:dyDescent="0.35">
      <c r="A113" s="85"/>
      <c r="B113" s="85"/>
      <c r="C113" s="85"/>
      <c r="D113" s="85"/>
      <c r="E113" s="85"/>
      <c r="F113" s="85"/>
      <c r="G113" s="85"/>
      <c r="H113" s="85"/>
      <c r="I113" s="85"/>
      <c r="J113" s="85"/>
      <c r="K113" s="85"/>
    </row>
    <row r="114" spans="1:11" x14ac:dyDescent="0.35">
      <c r="A114" s="85"/>
      <c r="B114" s="85"/>
      <c r="C114" s="85"/>
      <c r="D114" s="85"/>
      <c r="E114" s="85"/>
      <c r="F114" s="85"/>
      <c r="G114" s="85"/>
      <c r="H114" s="85"/>
      <c r="I114" s="85"/>
      <c r="J114" s="85"/>
      <c r="K114" s="85"/>
    </row>
    <row r="115" spans="1:11" x14ac:dyDescent="0.35">
      <c r="A115" s="85"/>
      <c r="B115" s="85"/>
      <c r="C115" s="85"/>
      <c r="D115" s="85"/>
      <c r="E115" s="85"/>
      <c r="F115" s="85"/>
      <c r="G115" s="85"/>
      <c r="H115" s="85"/>
      <c r="I115" s="85"/>
      <c r="J115" s="85"/>
      <c r="K115" s="85"/>
    </row>
    <row r="116" spans="1:11" x14ac:dyDescent="0.35">
      <c r="A116" s="85"/>
      <c r="B116" s="85"/>
      <c r="C116" s="85"/>
      <c r="D116" s="85"/>
      <c r="E116" s="85"/>
      <c r="F116" s="85"/>
      <c r="G116" s="85"/>
      <c r="H116" s="85"/>
      <c r="I116" s="85"/>
      <c r="J116" s="85"/>
      <c r="K116" s="85"/>
    </row>
    <row r="117" spans="1:11" x14ac:dyDescent="0.35">
      <c r="A117" s="85"/>
      <c r="B117" s="85"/>
      <c r="C117" s="85"/>
      <c r="D117" s="85"/>
      <c r="E117" s="85"/>
      <c r="F117" s="85"/>
      <c r="G117" s="85"/>
      <c r="H117" s="85"/>
      <c r="I117" s="85"/>
      <c r="J117" s="85"/>
      <c r="K117" s="85"/>
    </row>
    <row r="118" spans="1:11" x14ac:dyDescent="0.35">
      <c r="A118" s="85"/>
      <c r="B118" s="85"/>
      <c r="C118" s="85"/>
      <c r="D118" s="85"/>
      <c r="E118" s="85"/>
      <c r="F118" s="85"/>
      <c r="G118" s="85"/>
      <c r="H118" s="85"/>
      <c r="I118" s="85"/>
      <c r="J118" s="85"/>
      <c r="K118" s="85"/>
    </row>
    <row r="119" spans="1:11" x14ac:dyDescent="0.35">
      <c r="A119" s="85"/>
      <c r="B119" s="85"/>
      <c r="C119" s="85"/>
      <c r="D119" s="85"/>
      <c r="E119" s="85"/>
      <c r="F119" s="85"/>
      <c r="G119" s="85"/>
      <c r="H119" s="85"/>
      <c r="I119" s="85"/>
      <c r="J119" s="85"/>
      <c r="K119" s="85"/>
    </row>
    <row r="120" spans="1:11" x14ac:dyDescent="0.35">
      <c r="A120" s="85"/>
      <c r="B120" s="85"/>
      <c r="C120" s="85"/>
      <c r="D120" s="85"/>
      <c r="E120" s="85"/>
      <c r="F120" s="85"/>
      <c r="G120" s="85"/>
      <c r="H120" s="85"/>
      <c r="I120" s="85"/>
      <c r="J120" s="85"/>
      <c r="K120" s="85"/>
    </row>
    <row r="121" spans="1:11" x14ac:dyDescent="0.35">
      <c r="A121" s="85"/>
      <c r="B121" s="85"/>
      <c r="C121" s="85"/>
      <c r="D121" s="85"/>
      <c r="E121" s="85"/>
      <c r="F121" s="85"/>
      <c r="G121" s="85"/>
      <c r="H121" s="85"/>
      <c r="I121" s="85"/>
      <c r="J121" s="85"/>
      <c r="K121" s="85"/>
    </row>
    <row r="122" spans="1:11" x14ac:dyDescent="0.35">
      <c r="A122" s="85"/>
      <c r="B122" s="85"/>
      <c r="C122" s="85"/>
      <c r="D122" s="85"/>
      <c r="E122" s="85"/>
      <c r="F122" s="85"/>
      <c r="G122" s="85"/>
      <c r="H122" s="85"/>
      <c r="I122" s="85"/>
      <c r="J122" s="85"/>
      <c r="K122" s="85"/>
    </row>
    <row r="123" spans="1:11" x14ac:dyDescent="0.35">
      <c r="A123" s="85"/>
      <c r="B123" s="85"/>
      <c r="C123" s="85"/>
      <c r="D123" s="85"/>
      <c r="E123" s="85"/>
      <c r="F123" s="85"/>
      <c r="G123" s="85"/>
      <c r="H123" s="85"/>
      <c r="I123" s="85"/>
      <c r="J123" s="85"/>
      <c r="K123" s="85"/>
    </row>
    <row r="124" spans="1:11" x14ac:dyDescent="0.35">
      <c r="A124" s="85"/>
      <c r="B124" s="85"/>
      <c r="C124" s="85"/>
      <c r="D124" s="85"/>
      <c r="E124" s="85"/>
      <c r="F124" s="85"/>
      <c r="G124" s="85"/>
      <c r="H124" s="85"/>
      <c r="I124" s="85"/>
      <c r="J124" s="85"/>
      <c r="K124" s="85"/>
    </row>
    <row r="125" spans="1:11" x14ac:dyDescent="0.35">
      <c r="A125" s="85"/>
      <c r="B125" s="85"/>
      <c r="C125" s="85"/>
      <c r="D125" s="85"/>
      <c r="E125" s="85"/>
      <c r="F125" s="85"/>
      <c r="G125" s="85"/>
      <c r="H125" s="85"/>
      <c r="I125" s="85"/>
      <c r="J125" s="85"/>
      <c r="K125" s="85"/>
    </row>
    <row r="126" spans="1:11" x14ac:dyDescent="0.35">
      <c r="A126" s="85"/>
      <c r="B126" s="85"/>
      <c r="C126" s="85"/>
      <c r="D126" s="85"/>
      <c r="E126" s="85"/>
      <c r="F126" s="85"/>
      <c r="G126" s="85"/>
      <c r="H126" s="85"/>
      <c r="I126" s="85"/>
      <c r="J126" s="85"/>
      <c r="K126" s="85"/>
    </row>
    <row r="127" spans="1:11" x14ac:dyDescent="0.35">
      <c r="A127" s="85"/>
      <c r="B127" s="85"/>
      <c r="C127" s="85"/>
      <c r="D127" s="85"/>
      <c r="E127" s="85"/>
      <c r="F127" s="85"/>
      <c r="G127" s="85"/>
      <c r="H127" s="85"/>
      <c r="I127" s="85"/>
      <c r="J127" s="85"/>
      <c r="K127" s="85"/>
    </row>
    <row r="128" spans="1:11" x14ac:dyDescent="0.35">
      <c r="A128" s="85"/>
      <c r="B128" s="85"/>
      <c r="C128" s="85"/>
      <c r="D128" s="85"/>
      <c r="E128" s="85"/>
      <c r="F128" s="85"/>
      <c r="G128" s="85"/>
      <c r="H128" s="85"/>
      <c r="I128" s="85"/>
      <c r="J128" s="85"/>
      <c r="K128" s="85"/>
    </row>
    <row r="129" spans="1:11" x14ac:dyDescent="0.35">
      <c r="A129" s="85"/>
      <c r="B129" s="85"/>
      <c r="C129" s="85"/>
      <c r="D129" s="85"/>
      <c r="E129" s="85"/>
      <c r="F129" s="85"/>
      <c r="G129" s="85"/>
      <c r="H129" s="85"/>
      <c r="I129" s="85"/>
      <c r="J129" s="85"/>
      <c r="K129" s="85"/>
    </row>
    <row r="130" spans="1:11" x14ac:dyDescent="0.35">
      <c r="A130" s="85"/>
      <c r="B130" s="85"/>
      <c r="C130" s="85"/>
      <c r="D130" s="85"/>
      <c r="E130" s="85"/>
      <c r="F130" s="85"/>
      <c r="G130" s="85"/>
      <c r="H130" s="85"/>
      <c r="I130" s="85"/>
      <c r="J130" s="85"/>
      <c r="K130" s="85"/>
    </row>
    <row r="131" spans="1:11" x14ac:dyDescent="0.35">
      <c r="A131" s="85"/>
      <c r="B131" s="85"/>
      <c r="C131" s="85"/>
      <c r="D131" s="85"/>
      <c r="E131" s="85"/>
      <c r="F131" s="85"/>
      <c r="G131" s="85"/>
      <c r="H131" s="85"/>
      <c r="I131" s="85"/>
      <c r="J131" s="85"/>
      <c r="K131" s="85"/>
    </row>
    <row r="132" spans="1:11" x14ac:dyDescent="0.35">
      <c r="A132" s="85"/>
      <c r="B132" s="85"/>
      <c r="C132" s="85"/>
      <c r="D132" s="85"/>
      <c r="E132" s="85"/>
      <c r="F132" s="85"/>
      <c r="G132" s="85"/>
      <c r="H132" s="85"/>
      <c r="I132" s="85"/>
      <c r="J132" s="85"/>
      <c r="K132" s="85"/>
    </row>
    <row r="133" spans="1:11" x14ac:dyDescent="0.35">
      <c r="A133" s="85"/>
      <c r="B133" s="85"/>
      <c r="C133" s="85"/>
      <c r="D133" s="85"/>
      <c r="E133" s="85"/>
      <c r="F133" s="85"/>
      <c r="G133" s="85"/>
      <c r="H133" s="85"/>
      <c r="I133" s="85"/>
      <c r="J133" s="85"/>
      <c r="K133" s="85"/>
    </row>
    <row r="134" spans="1:11" x14ac:dyDescent="0.35">
      <c r="A134" s="85"/>
      <c r="B134" s="85"/>
      <c r="C134" s="85"/>
      <c r="D134" s="85"/>
      <c r="E134" s="85"/>
      <c r="F134" s="85"/>
      <c r="G134" s="85"/>
      <c r="H134" s="85"/>
      <c r="I134" s="85"/>
      <c r="J134" s="85"/>
      <c r="K134" s="85"/>
    </row>
    <row r="135" spans="1:11" x14ac:dyDescent="0.35">
      <c r="A135" s="85"/>
      <c r="B135" s="85"/>
      <c r="C135" s="85"/>
      <c r="D135" s="85"/>
      <c r="E135" s="85"/>
      <c r="F135" s="85"/>
      <c r="G135" s="85"/>
      <c r="H135" s="85"/>
      <c r="I135" s="85"/>
      <c r="J135" s="85"/>
      <c r="K135" s="85"/>
    </row>
    <row r="136" spans="1:11" x14ac:dyDescent="0.35">
      <c r="A136" s="85"/>
      <c r="B136" s="85"/>
      <c r="C136" s="85"/>
      <c r="D136" s="85"/>
      <c r="E136" s="85"/>
      <c r="F136" s="85"/>
      <c r="G136" s="85"/>
      <c r="H136" s="85"/>
      <c r="I136" s="85"/>
      <c r="J136" s="85"/>
      <c r="K136" s="85"/>
    </row>
    <row r="137" spans="1:11" x14ac:dyDescent="0.35">
      <c r="A137" s="85"/>
      <c r="B137" s="85"/>
      <c r="C137" s="85"/>
      <c r="D137" s="85"/>
      <c r="E137" s="85"/>
      <c r="F137" s="85"/>
      <c r="G137" s="85"/>
      <c r="H137" s="85"/>
      <c r="I137" s="85"/>
      <c r="J137" s="85"/>
      <c r="K137" s="85"/>
    </row>
    <row r="138" spans="1:11" x14ac:dyDescent="0.35">
      <c r="A138" s="85"/>
      <c r="B138" s="85"/>
      <c r="C138" s="85"/>
      <c r="D138" s="85"/>
      <c r="E138" s="85"/>
      <c r="F138" s="85"/>
      <c r="G138" s="85"/>
      <c r="H138" s="85"/>
      <c r="I138" s="85"/>
      <c r="J138" s="85"/>
      <c r="K138" s="85"/>
    </row>
    <row r="139" spans="1:11" x14ac:dyDescent="0.35">
      <c r="A139" s="85"/>
      <c r="B139" s="85"/>
      <c r="C139" s="85"/>
      <c r="D139" s="85"/>
      <c r="E139" s="85"/>
      <c r="F139" s="85"/>
      <c r="G139" s="85"/>
      <c r="H139" s="85"/>
      <c r="I139" s="85"/>
      <c r="J139" s="85"/>
      <c r="K139" s="85"/>
    </row>
    <row r="140" spans="1:11" x14ac:dyDescent="0.35">
      <c r="A140" s="85"/>
      <c r="B140" s="85"/>
      <c r="C140" s="85"/>
      <c r="D140" s="85"/>
      <c r="E140" s="85"/>
      <c r="F140" s="85"/>
      <c r="G140" s="85"/>
      <c r="H140" s="85"/>
      <c r="I140" s="85"/>
      <c r="J140" s="85"/>
      <c r="K140" s="85"/>
    </row>
    <row r="141" spans="1:11" x14ac:dyDescent="0.35">
      <c r="A141" s="85"/>
      <c r="B141" s="85"/>
      <c r="C141" s="85"/>
      <c r="D141" s="85"/>
      <c r="E141" s="85"/>
      <c r="F141" s="85"/>
      <c r="G141" s="85"/>
      <c r="H141" s="85"/>
      <c r="I141" s="85"/>
      <c r="J141" s="85"/>
      <c r="K141" s="85"/>
    </row>
    <row r="142" spans="1:11" x14ac:dyDescent="0.35">
      <c r="A142" s="85"/>
      <c r="B142" s="85"/>
      <c r="C142" s="85"/>
      <c r="D142" s="85"/>
      <c r="E142" s="85"/>
      <c r="F142" s="85"/>
      <c r="G142" s="85"/>
      <c r="H142" s="85"/>
      <c r="I142" s="85"/>
      <c r="J142" s="85"/>
      <c r="K142" s="85"/>
    </row>
    <row r="143" spans="1:11" x14ac:dyDescent="0.35">
      <c r="A143" s="85"/>
      <c r="B143" s="85"/>
      <c r="C143" s="85"/>
      <c r="D143" s="85"/>
      <c r="E143" s="85"/>
      <c r="F143" s="85"/>
      <c r="G143" s="85"/>
      <c r="H143" s="85"/>
      <c r="I143" s="85"/>
      <c r="J143" s="85"/>
      <c r="K143" s="85"/>
    </row>
    <row r="144" spans="1:11" x14ac:dyDescent="0.35">
      <c r="A144" s="85"/>
      <c r="B144" s="85"/>
      <c r="C144" s="85"/>
      <c r="D144" s="85"/>
      <c r="E144" s="85"/>
      <c r="F144" s="85"/>
      <c r="G144" s="85"/>
      <c r="H144" s="85"/>
      <c r="I144" s="85"/>
      <c r="J144" s="85"/>
      <c r="K144" s="85"/>
    </row>
    <row r="145" spans="1:11" x14ac:dyDescent="0.35">
      <c r="A145" s="85"/>
      <c r="B145" s="85"/>
      <c r="C145" s="85"/>
      <c r="D145" s="85"/>
      <c r="E145" s="85"/>
      <c r="F145" s="85"/>
      <c r="G145" s="85"/>
      <c r="H145" s="85"/>
      <c r="I145" s="85"/>
      <c r="J145" s="85"/>
      <c r="K145" s="85"/>
    </row>
    <row r="146" spans="1:11" x14ac:dyDescent="0.35">
      <c r="A146" s="85"/>
      <c r="B146" s="85"/>
      <c r="C146" s="85"/>
      <c r="D146" s="85"/>
      <c r="E146" s="85"/>
      <c r="F146" s="85"/>
      <c r="G146" s="85"/>
      <c r="H146" s="85"/>
      <c r="I146" s="85"/>
      <c r="J146" s="85"/>
      <c r="K146" s="85"/>
    </row>
    <row r="147" spans="1:11" x14ac:dyDescent="0.35">
      <c r="A147" s="85"/>
      <c r="B147" s="85"/>
      <c r="C147" s="85"/>
      <c r="D147" s="85"/>
      <c r="E147" s="85"/>
      <c r="F147" s="85"/>
      <c r="G147" s="85"/>
      <c r="H147" s="85"/>
      <c r="I147" s="85"/>
      <c r="J147" s="85"/>
      <c r="K147" s="85"/>
    </row>
    <row r="148" spans="1:11" x14ac:dyDescent="0.35">
      <c r="A148" s="85"/>
      <c r="B148" s="85"/>
      <c r="C148" s="85"/>
      <c r="D148" s="85"/>
      <c r="E148" s="85"/>
      <c r="F148" s="85"/>
      <c r="G148" s="85"/>
      <c r="H148" s="85"/>
      <c r="I148" s="85"/>
      <c r="J148" s="85"/>
      <c r="K148" s="85"/>
    </row>
    <row r="149" spans="1:11" x14ac:dyDescent="0.35">
      <c r="A149" s="85"/>
      <c r="B149" s="85"/>
      <c r="C149" s="85"/>
      <c r="D149" s="85"/>
      <c r="E149" s="85"/>
      <c r="F149" s="85"/>
      <c r="G149" s="85"/>
      <c r="H149" s="85"/>
      <c r="I149" s="85"/>
      <c r="J149" s="85"/>
      <c r="K149" s="85"/>
    </row>
    <row r="150" spans="1:11" x14ac:dyDescent="0.35">
      <c r="A150" s="85"/>
      <c r="B150" s="85"/>
      <c r="C150" s="85"/>
      <c r="D150" s="85"/>
      <c r="E150" s="85"/>
      <c r="F150" s="85"/>
      <c r="G150" s="85"/>
      <c r="H150" s="85"/>
      <c r="I150" s="85"/>
      <c r="J150" s="85"/>
      <c r="K150" s="85"/>
    </row>
    <row r="151" spans="1:11" x14ac:dyDescent="0.35">
      <c r="A151" s="85"/>
      <c r="B151" s="85"/>
      <c r="C151" s="85"/>
      <c r="D151" s="85"/>
      <c r="E151" s="85"/>
      <c r="F151" s="85"/>
      <c r="G151" s="85"/>
      <c r="H151" s="85"/>
      <c r="I151" s="85"/>
      <c r="J151" s="85"/>
      <c r="K151" s="85"/>
    </row>
    <row r="152" spans="1:11" x14ac:dyDescent="0.35">
      <c r="A152" s="85"/>
      <c r="B152" s="85"/>
      <c r="C152" s="85"/>
      <c r="D152" s="85"/>
      <c r="E152" s="85"/>
      <c r="F152" s="85"/>
      <c r="G152" s="85"/>
      <c r="H152" s="85"/>
      <c r="I152" s="85"/>
      <c r="J152" s="85"/>
      <c r="K152" s="85"/>
    </row>
    <row r="153" spans="1:11" x14ac:dyDescent="0.35">
      <c r="A153" s="85"/>
      <c r="B153" s="85"/>
      <c r="C153" s="85"/>
      <c r="D153" s="85"/>
      <c r="E153" s="85"/>
      <c r="F153" s="85"/>
      <c r="G153" s="85"/>
      <c r="H153" s="85"/>
      <c r="I153" s="85"/>
      <c r="J153" s="85"/>
      <c r="K153" s="85"/>
    </row>
    <row r="154" spans="1:11" x14ac:dyDescent="0.35">
      <c r="A154" s="85"/>
      <c r="B154" s="85"/>
      <c r="C154" s="85"/>
      <c r="D154" s="85"/>
      <c r="E154" s="85"/>
      <c r="F154" s="85"/>
      <c r="G154" s="85"/>
      <c r="H154" s="85"/>
      <c r="I154" s="85"/>
      <c r="J154" s="85"/>
      <c r="K154" s="85"/>
    </row>
    <row r="155" spans="1:11" x14ac:dyDescent="0.35">
      <c r="A155" s="85"/>
      <c r="B155" s="85"/>
      <c r="C155" s="85"/>
      <c r="D155" s="85"/>
      <c r="E155" s="85"/>
      <c r="F155" s="85"/>
      <c r="G155" s="85"/>
      <c r="H155" s="85"/>
      <c r="I155" s="85"/>
      <c r="J155" s="85"/>
      <c r="K155" s="85"/>
    </row>
    <row r="156" spans="1:11" x14ac:dyDescent="0.35">
      <c r="A156" s="85"/>
      <c r="B156" s="85"/>
      <c r="C156" s="85"/>
      <c r="D156" s="85"/>
      <c r="E156" s="85"/>
      <c r="F156" s="85"/>
      <c r="G156" s="85"/>
      <c r="H156" s="85"/>
      <c r="I156" s="85"/>
      <c r="J156" s="85"/>
      <c r="K156" s="85"/>
    </row>
    <row r="157" spans="1:11" x14ac:dyDescent="0.35">
      <c r="A157" s="85"/>
      <c r="B157" s="85"/>
      <c r="C157" s="85"/>
      <c r="D157" s="85"/>
      <c r="E157" s="85"/>
      <c r="F157" s="85"/>
      <c r="G157" s="85"/>
      <c r="H157" s="85"/>
      <c r="I157" s="85"/>
      <c r="J157" s="85"/>
      <c r="K157" s="85"/>
    </row>
    <row r="158" spans="1:11" x14ac:dyDescent="0.35">
      <c r="A158" s="85"/>
      <c r="B158" s="85"/>
      <c r="C158" s="85"/>
      <c r="D158" s="85"/>
      <c r="E158" s="85"/>
      <c r="F158" s="85"/>
      <c r="G158" s="85"/>
      <c r="H158" s="85"/>
      <c r="I158" s="85"/>
      <c r="J158" s="85"/>
      <c r="K158" s="85"/>
    </row>
    <row r="159" spans="1:11" x14ac:dyDescent="0.35">
      <c r="A159" s="85"/>
      <c r="B159" s="85"/>
      <c r="C159" s="85"/>
      <c r="D159" s="85"/>
      <c r="E159" s="85"/>
      <c r="F159" s="85"/>
      <c r="G159" s="85"/>
      <c r="H159" s="85"/>
      <c r="I159" s="85"/>
      <c r="J159" s="85"/>
      <c r="K159" s="85"/>
    </row>
    <row r="160" spans="1:11" x14ac:dyDescent="0.35">
      <c r="A160" s="85"/>
      <c r="B160" s="85"/>
      <c r="C160" s="85"/>
      <c r="D160" s="85"/>
      <c r="E160" s="85"/>
      <c r="F160" s="85"/>
      <c r="G160" s="85"/>
      <c r="H160" s="85"/>
      <c r="I160" s="85"/>
      <c r="J160" s="85"/>
      <c r="K160" s="85"/>
    </row>
    <row r="161" spans="1:11" x14ac:dyDescent="0.35">
      <c r="A161" s="85"/>
      <c r="B161" s="85"/>
      <c r="C161" s="85"/>
      <c r="D161" s="85"/>
      <c r="E161" s="85"/>
      <c r="F161" s="85"/>
      <c r="G161" s="85"/>
      <c r="H161" s="85"/>
      <c r="I161" s="85"/>
      <c r="J161" s="85"/>
      <c r="K161" s="85"/>
    </row>
    <row r="162" spans="1:11" x14ac:dyDescent="0.35">
      <c r="A162" s="85"/>
      <c r="B162" s="85"/>
      <c r="C162" s="85"/>
      <c r="D162" s="85"/>
      <c r="E162" s="85"/>
      <c r="F162" s="85"/>
      <c r="G162" s="85"/>
      <c r="H162" s="85"/>
      <c r="I162" s="85"/>
      <c r="J162" s="85"/>
      <c r="K162" s="85"/>
    </row>
    <row r="163" spans="1:11" x14ac:dyDescent="0.35">
      <c r="A163" s="85"/>
      <c r="B163" s="85"/>
      <c r="C163" s="85"/>
      <c r="D163" s="85"/>
      <c r="E163" s="85"/>
      <c r="F163" s="85"/>
      <c r="G163" s="85"/>
      <c r="H163" s="85"/>
      <c r="I163" s="85"/>
      <c r="J163" s="85"/>
      <c r="K163" s="85"/>
    </row>
    <row r="164" spans="1:11" x14ac:dyDescent="0.35">
      <c r="A164" s="85"/>
      <c r="B164" s="85"/>
      <c r="C164" s="85"/>
      <c r="D164" s="85"/>
      <c r="E164" s="85"/>
      <c r="F164" s="85"/>
      <c r="G164" s="85"/>
      <c r="H164" s="85"/>
      <c r="I164" s="85"/>
      <c r="J164" s="85"/>
      <c r="K164" s="85"/>
    </row>
    <row r="165" spans="1:11" x14ac:dyDescent="0.35">
      <c r="A165" s="85"/>
      <c r="B165" s="85"/>
      <c r="C165" s="85"/>
      <c r="D165" s="85"/>
      <c r="E165" s="85"/>
      <c r="F165" s="85"/>
      <c r="G165" s="85"/>
      <c r="H165" s="85"/>
      <c r="I165" s="85"/>
      <c r="J165" s="85"/>
      <c r="K165" s="85"/>
    </row>
    <row r="166" spans="1:11" x14ac:dyDescent="0.35">
      <c r="A166" s="85"/>
      <c r="B166" s="85"/>
      <c r="C166" s="85"/>
      <c r="D166" s="85"/>
      <c r="E166" s="85"/>
      <c r="F166" s="85"/>
      <c r="G166" s="85"/>
      <c r="H166" s="85"/>
      <c r="I166" s="85"/>
      <c r="J166" s="85"/>
      <c r="K166" s="85"/>
    </row>
    <row r="167" spans="1:11" x14ac:dyDescent="0.35">
      <c r="A167" s="85"/>
      <c r="B167" s="85"/>
      <c r="C167" s="85"/>
      <c r="D167" s="85"/>
      <c r="E167" s="85"/>
      <c r="F167" s="85"/>
      <c r="G167" s="85"/>
      <c r="H167" s="85"/>
      <c r="I167" s="85"/>
      <c r="J167" s="85"/>
      <c r="K167" s="85"/>
    </row>
    <row r="168" spans="1:11" x14ac:dyDescent="0.35">
      <c r="A168" s="85"/>
      <c r="B168" s="85"/>
      <c r="C168" s="85"/>
      <c r="D168" s="85"/>
      <c r="E168" s="85"/>
      <c r="F168" s="85"/>
      <c r="G168" s="85"/>
      <c r="H168" s="85"/>
      <c r="I168" s="85"/>
      <c r="J168" s="85"/>
      <c r="K168" s="85"/>
    </row>
    <row r="169" spans="1:11" x14ac:dyDescent="0.35">
      <c r="A169" s="85"/>
      <c r="B169" s="85"/>
      <c r="C169" s="85"/>
      <c r="D169" s="85"/>
      <c r="E169" s="85"/>
      <c r="F169" s="85"/>
      <c r="G169" s="85"/>
      <c r="H169" s="85"/>
      <c r="I169" s="85"/>
      <c r="J169" s="85"/>
      <c r="K169" s="85"/>
    </row>
    <row r="170" spans="1:11" x14ac:dyDescent="0.35">
      <c r="A170" s="85"/>
      <c r="B170" s="85"/>
      <c r="C170" s="85"/>
      <c r="D170" s="85"/>
      <c r="E170" s="85"/>
      <c r="F170" s="85"/>
      <c r="G170" s="85"/>
      <c r="H170" s="85"/>
      <c r="I170" s="85"/>
      <c r="J170" s="85"/>
      <c r="K170" s="85"/>
    </row>
    <row r="171" spans="1:11" x14ac:dyDescent="0.35">
      <c r="A171" s="85"/>
      <c r="B171" s="85"/>
      <c r="C171" s="85"/>
      <c r="D171" s="85"/>
      <c r="E171" s="85"/>
      <c r="F171" s="85"/>
      <c r="G171" s="85"/>
      <c r="H171" s="85"/>
      <c r="I171" s="85"/>
      <c r="J171" s="85"/>
      <c r="K171" s="85"/>
    </row>
    <row r="172" spans="1:11" x14ac:dyDescent="0.35">
      <c r="A172" s="85"/>
      <c r="B172" s="85"/>
      <c r="C172" s="85"/>
      <c r="D172" s="85"/>
      <c r="E172" s="85"/>
      <c r="F172" s="85"/>
      <c r="G172" s="85"/>
      <c r="H172" s="85"/>
      <c r="I172" s="85"/>
      <c r="J172" s="85"/>
      <c r="K172" s="85"/>
    </row>
    <row r="173" spans="1:11" x14ac:dyDescent="0.35">
      <c r="A173" s="85"/>
      <c r="B173" s="85"/>
      <c r="C173" s="85"/>
      <c r="D173" s="85"/>
      <c r="E173" s="85"/>
      <c r="F173" s="85"/>
      <c r="G173" s="85"/>
      <c r="H173" s="85"/>
      <c r="I173" s="85"/>
      <c r="J173" s="85"/>
      <c r="K173" s="85"/>
    </row>
    <row r="174" spans="1:11" x14ac:dyDescent="0.35">
      <c r="A174" s="85"/>
      <c r="B174" s="85"/>
      <c r="C174" s="85"/>
      <c r="D174" s="85"/>
      <c r="E174" s="85"/>
      <c r="F174" s="85"/>
      <c r="G174" s="85"/>
      <c r="H174" s="85"/>
      <c r="I174" s="85"/>
      <c r="J174" s="85"/>
      <c r="K174" s="85"/>
    </row>
  </sheetData>
  <mergeCells count="5">
    <mergeCell ref="N78:V78"/>
    <mergeCell ref="N91:W91"/>
    <mergeCell ref="K63:K64"/>
    <mergeCell ref="I1:I2"/>
    <mergeCell ref="P50:V5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dimension ref="A1:V44"/>
  <sheetViews>
    <sheetView zoomScale="80" zoomScaleNormal="80" workbookViewId="0">
      <selection activeCell="N41" sqref="N41"/>
    </sheetView>
  </sheetViews>
  <sheetFormatPr defaultColWidth="11" defaultRowHeight="15.5" x14ac:dyDescent="0.35"/>
  <cols>
    <col min="1" max="1" width="25.58203125" customWidth="1"/>
    <col min="2" max="2" width="12.25" customWidth="1"/>
    <col min="3" max="3" width="24" customWidth="1"/>
    <col min="4" max="4" width="11.25" customWidth="1"/>
    <col min="5" max="5" width="19.75" customWidth="1"/>
    <col min="6" max="6" width="24.08203125" style="94" customWidth="1"/>
    <col min="7" max="7" width="25.83203125" customWidth="1"/>
    <col min="10" max="10" width="19.9140625" customWidth="1"/>
    <col min="13" max="13" width="15" customWidth="1"/>
    <col min="17" max="17" width="15.1640625" customWidth="1"/>
    <col min="19" max="19" width="17.83203125" customWidth="1"/>
    <col min="22" max="22" width="25.33203125" customWidth="1"/>
  </cols>
  <sheetData>
    <row r="1" spans="1:22" ht="72.5" customHeight="1" x14ac:dyDescent="0.35">
      <c r="A1" s="188" t="s">
        <v>403</v>
      </c>
      <c r="B1" s="188"/>
      <c r="C1" s="188"/>
      <c r="D1" s="188"/>
      <c r="E1" s="188"/>
      <c r="F1" s="116"/>
      <c r="G1" s="189" t="s">
        <v>375</v>
      </c>
      <c r="J1" s="188" t="s">
        <v>544</v>
      </c>
      <c r="K1" s="188"/>
      <c r="L1" s="188"/>
      <c r="M1" s="188"/>
      <c r="N1" s="188"/>
      <c r="O1" s="188"/>
      <c r="P1" s="188"/>
      <c r="Q1" s="188"/>
      <c r="R1" s="188"/>
      <c r="S1" s="188"/>
      <c r="T1" s="188"/>
      <c r="U1" s="188"/>
      <c r="V1" s="189" t="s">
        <v>375</v>
      </c>
    </row>
    <row r="2" spans="1:22" ht="95" customHeight="1" x14ac:dyDescent="0.35">
      <c r="A2" s="117" t="s">
        <v>452</v>
      </c>
      <c r="B2" s="118" t="s">
        <v>373</v>
      </c>
      <c r="C2" s="117" t="s">
        <v>402</v>
      </c>
      <c r="D2" s="118" t="s">
        <v>374</v>
      </c>
      <c r="E2" s="119" t="s">
        <v>371</v>
      </c>
      <c r="F2" s="119" t="s">
        <v>372</v>
      </c>
      <c r="G2" s="189"/>
      <c r="J2" s="160" t="s">
        <v>452</v>
      </c>
      <c r="K2" s="160" t="s">
        <v>373</v>
      </c>
      <c r="L2" s="154" t="s">
        <v>540</v>
      </c>
      <c r="M2" s="155" t="s">
        <v>546</v>
      </c>
      <c r="N2" s="158" t="s">
        <v>545</v>
      </c>
      <c r="O2" s="154" t="s">
        <v>543</v>
      </c>
      <c r="P2" s="154" t="s">
        <v>541</v>
      </c>
      <c r="Q2" s="155" t="s">
        <v>547</v>
      </c>
      <c r="R2" s="155" t="s">
        <v>536</v>
      </c>
      <c r="S2" s="154" t="s">
        <v>372</v>
      </c>
      <c r="T2" s="154" t="s">
        <v>534</v>
      </c>
      <c r="U2" s="116"/>
      <c r="V2" s="189"/>
    </row>
    <row r="3" spans="1:22" x14ac:dyDescent="0.35">
      <c r="A3" t="s">
        <v>0</v>
      </c>
      <c r="B3" s="2">
        <v>18</v>
      </c>
      <c r="C3" s="96" t="s">
        <v>378</v>
      </c>
      <c r="D3" s="2">
        <v>46</v>
      </c>
      <c r="E3" s="2" t="s">
        <v>66</v>
      </c>
      <c r="F3" s="95" t="s">
        <v>68</v>
      </c>
      <c r="J3" t="s">
        <v>0</v>
      </c>
      <c r="K3">
        <v>18</v>
      </c>
      <c r="L3" s="30">
        <f>K3/180</f>
        <v>0.1</v>
      </c>
      <c r="M3">
        <f>K3-16</f>
        <v>2</v>
      </c>
      <c r="N3">
        <v>46</v>
      </c>
      <c r="O3">
        <f>N3-6</f>
        <v>40</v>
      </c>
      <c r="P3" s="30">
        <f>O3/180</f>
        <v>0.22222222222222221</v>
      </c>
      <c r="Q3">
        <f>O3-40</f>
        <v>0</v>
      </c>
      <c r="R3">
        <f t="shared" ref="R3:R16" si="0">N3-K3</f>
        <v>28</v>
      </c>
      <c r="S3" t="s">
        <v>68</v>
      </c>
      <c r="T3" t="s">
        <v>378</v>
      </c>
    </row>
    <row r="4" spans="1:22" x14ac:dyDescent="0.35">
      <c r="A4" t="s">
        <v>376</v>
      </c>
      <c r="B4" s="2">
        <v>18</v>
      </c>
      <c r="C4" s="96" t="s">
        <v>379</v>
      </c>
      <c r="D4" s="2">
        <v>77</v>
      </c>
      <c r="E4" s="2" t="s">
        <v>66</v>
      </c>
      <c r="F4" s="95" t="s">
        <v>68</v>
      </c>
      <c r="J4" t="s">
        <v>376</v>
      </c>
      <c r="K4">
        <v>18</v>
      </c>
      <c r="L4" s="30">
        <f t="shared" ref="L4:L38" si="1">K4/180</f>
        <v>0.1</v>
      </c>
      <c r="M4">
        <f>K4-16</f>
        <v>2</v>
      </c>
      <c r="N4">
        <v>77</v>
      </c>
      <c r="O4">
        <f t="shared" ref="O4:O10" si="2">N4-6</f>
        <v>71</v>
      </c>
      <c r="P4" s="30">
        <f t="shared" ref="P4:P38" si="3">O4/180</f>
        <v>0.39444444444444443</v>
      </c>
      <c r="Q4">
        <f t="shared" ref="Q4:Q38" si="4">O4-40</f>
        <v>31</v>
      </c>
      <c r="R4">
        <f t="shared" si="0"/>
        <v>59</v>
      </c>
      <c r="S4" t="s">
        <v>68</v>
      </c>
      <c r="T4" t="s">
        <v>379</v>
      </c>
    </row>
    <row r="5" spans="1:22" x14ac:dyDescent="0.35">
      <c r="A5" t="s">
        <v>377</v>
      </c>
      <c r="B5" s="2">
        <v>24</v>
      </c>
      <c r="C5" s="96" t="s">
        <v>385</v>
      </c>
      <c r="D5" s="2">
        <f>8+8+8+8+12+8+5+8+8+6</f>
        <v>79</v>
      </c>
      <c r="E5" s="2" t="s">
        <v>66</v>
      </c>
      <c r="F5" s="95" t="s">
        <v>68</v>
      </c>
      <c r="J5" t="s">
        <v>377</v>
      </c>
      <c r="K5">
        <v>24</v>
      </c>
      <c r="L5" s="30">
        <f t="shared" si="1"/>
        <v>0.13333333333333333</v>
      </c>
      <c r="M5">
        <f>K5-16</f>
        <v>8</v>
      </c>
      <c r="N5">
        <v>79</v>
      </c>
      <c r="O5">
        <f t="shared" si="2"/>
        <v>73</v>
      </c>
      <c r="P5" s="30">
        <f t="shared" si="3"/>
        <v>0.40555555555555556</v>
      </c>
      <c r="Q5">
        <f t="shared" si="4"/>
        <v>33</v>
      </c>
      <c r="R5">
        <f t="shared" si="0"/>
        <v>55</v>
      </c>
      <c r="S5" t="s">
        <v>68</v>
      </c>
      <c r="T5" t="s">
        <v>385</v>
      </c>
    </row>
    <row r="6" spans="1:22" x14ac:dyDescent="0.35">
      <c r="A6" t="s">
        <v>380</v>
      </c>
      <c r="B6" s="2">
        <v>28</v>
      </c>
      <c r="C6" s="96" t="s">
        <v>383</v>
      </c>
      <c r="D6" s="2">
        <f>8+6+8+8+7+7+8+7</f>
        <v>59</v>
      </c>
      <c r="E6" s="2" t="s">
        <v>68</v>
      </c>
      <c r="F6" s="99" t="s">
        <v>66</v>
      </c>
      <c r="J6" t="s">
        <v>380</v>
      </c>
      <c r="K6">
        <v>28</v>
      </c>
      <c r="L6" s="30">
        <f t="shared" si="1"/>
        <v>0.15555555555555556</v>
      </c>
      <c r="M6">
        <f t="shared" ref="M6:M38" si="5">K6-16</f>
        <v>12</v>
      </c>
      <c r="N6">
        <v>59</v>
      </c>
      <c r="O6">
        <v>59</v>
      </c>
      <c r="P6" s="30">
        <f t="shared" si="3"/>
        <v>0.32777777777777778</v>
      </c>
      <c r="Q6">
        <f t="shared" si="4"/>
        <v>19</v>
      </c>
      <c r="R6">
        <f t="shared" si="0"/>
        <v>31</v>
      </c>
      <c r="S6" s="27" t="s">
        <v>66</v>
      </c>
      <c r="T6" t="s">
        <v>383</v>
      </c>
    </row>
    <row r="7" spans="1:22" x14ac:dyDescent="0.35">
      <c r="A7" t="s">
        <v>381</v>
      </c>
      <c r="B7" s="2">
        <v>18</v>
      </c>
      <c r="C7" s="96" t="s">
        <v>384</v>
      </c>
      <c r="D7" s="2">
        <f>6+9+9+9+9+9+9+9</f>
        <v>69</v>
      </c>
      <c r="E7" s="2" t="s">
        <v>66</v>
      </c>
      <c r="F7" s="99" t="s">
        <v>66</v>
      </c>
      <c r="J7" t="s">
        <v>381</v>
      </c>
      <c r="K7">
        <v>18</v>
      </c>
      <c r="L7" s="30">
        <f t="shared" si="1"/>
        <v>0.1</v>
      </c>
      <c r="M7">
        <f t="shared" si="5"/>
        <v>2</v>
      </c>
      <c r="N7">
        <v>69</v>
      </c>
      <c r="O7">
        <f t="shared" si="2"/>
        <v>63</v>
      </c>
      <c r="P7" s="30">
        <f t="shared" si="3"/>
        <v>0.35</v>
      </c>
      <c r="Q7">
        <f t="shared" si="4"/>
        <v>23</v>
      </c>
      <c r="R7">
        <f t="shared" si="0"/>
        <v>51</v>
      </c>
      <c r="S7" s="27" t="s">
        <v>66</v>
      </c>
      <c r="T7" t="s">
        <v>384</v>
      </c>
    </row>
    <row r="8" spans="1:22" x14ac:dyDescent="0.35">
      <c r="A8" t="s">
        <v>382</v>
      </c>
      <c r="B8" s="2">
        <v>27</v>
      </c>
      <c r="C8" s="96" t="s">
        <v>385</v>
      </c>
      <c r="D8" s="2">
        <f>12+12+9+9+9+6+9</f>
        <v>66</v>
      </c>
      <c r="E8" s="2" t="s">
        <v>68</v>
      </c>
      <c r="F8" s="95" t="s">
        <v>68</v>
      </c>
      <c r="J8" t="s">
        <v>382</v>
      </c>
      <c r="K8">
        <v>27</v>
      </c>
      <c r="L8" s="30">
        <f t="shared" si="1"/>
        <v>0.15</v>
      </c>
      <c r="M8">
        <f t="shared" si="5"/>
        <v>11</v>
      </c>
      <c r="N8">
        <v>66</v>
      </c>
      <c r="O8">
        <v>66</v>
      </c>
      <c r="P8" s="30">
        <f t="shared" si="3"/>
        <v>0.36666666666666664</v>
      </c>
      <c r="Q8">
        <f t="shared" si="4"/>
        <v>26</v>
      </c>
      <c r="R8">
        <f t="shared" si="0"/>
        <v>39</v>
      </c>
      <c r="S8" t="s">
        <v>68</v>
      </c>
      <c r="T8" t="s">
        <v>385</v>
      </c>
    </row>
    <row r="9" spans="1:22" x14ac:dyDescent="0.35">
      <c r="A9" t="s">
        <v>200</v>
      </c>
      <c r="B9" s="2">
        <v>18</v>
      </c>
      <c r="C9" s="96" t="s">
        <v>384</v>
      </c>
      <c r="D9" s="2">
        <f>12+9+12+9+12+6+6</f>
        <v>66</v>
      </c>
      <c r="E9" s="2" t="s">
        <v>66</v>
      </c>
      <c r="F9" s="95" t="s">
        <v>68</v>
      </c>
      <c r="J9" t="s">
        <v>200</v>
      </c>
      <c r="K9">
        <v>18</v>
      </c>
      <c r="L9" s="30">
        <f t="shared" si="1"/>
        <v>0.1</v>
      </c>
      <c r="M9">
        <f t="shared" si="5"/>
        <v>2</v>
      </c>
      <c r="N9">
        <v>66</v>
      </c>
      <c r="O9">
        <f t="shared" si="2"/>
        <v>60</v>
      </c>
      <c r="P9" s="30">
        <f t="shared" si="3"/>
        <v>0.33333333333333331</v>
      </c>
      <c r="Q9">
        <f t="shared" si="4"/>
        <v>20</v>
      </c>
      <c r="R9">
        <f t="shared" si="0"/>
        <v>48</v>
      </c>
      <c r="S9" t="s">
        <v>68</v>
      </c>
      <c r="T9" t="s">
        <v>384</v>
      </c>
    </row>
    <row r="10" spans="1:22" x14ac:dyDescent="0.35">
      <c r="A10" t="s">
        <v>386</v>
      </c>
      <c r="B10" s="2">
        <v>18</v>
      </c>
      <c r="C10" s="96" t="s">
        <v>387</v>
      </c>
      <c r="D10" s="2">
        <f>6+9+18+12+12</f>
        <v>57</v>
      </c>
      <c r="E10" s="2" t="s">
        <v>66</v>
      </c>
      <c r="F10" s="95" t="s">
        <v>68</v>
      </c>
      <c r="J10" t="s">
        <v>386</v>
      </c>
      <c r="K10">
        <v>18</v>
      </c>
      <c r="L10" s="30">
        <f t="shared" si="1"/>
        <v>0.1</v>
      </c>
      <c r="M10">
        <f t="shared" si="5"/>
        <v>2</v>
      </c>
      <c r="N10">
        <v>57</v>
      </c>
      <c r="O10">
        <f t="shared" si="2"/>
        <v>51</v>
      </c>
      <c r="P10" s="30">
        <f t="shared" si="3"/>
        <v>0.28333333333333333</v>
      </c>
      <c r="Q10">
        <f t="shared" si="4"/>
        <v>11</v>
      </c>
      <c r="R10">
        <f t="shared" si="0"/>
        <v>39</v>
      </c>
      <c r="S10" t="s">
        <v>68</v>
      </c>
      <c r="T10" t="s">
        <v>387</v>
      </c>
    </row>
    <row r="11" spans="1:22" x14ac:dyDescent="0.35">
      <c r="A11" t="s">
        <v>1</v>
      </c>
      <c r="B11" s="2">
        <v>21</v>
      </c>
      <c r="C11" s="96" t="s">
        <v>384</v>
      </c>
      <c r="D11" s="2">
        <f>9+9+9+9+6+9</f>
        <v>51</v>
      </c>
      <c r="E11" s="190" t="s">
        <v>398</v>
      </c>
      <c r="F11" s="190"/>
      <c r="J11" t="s">
        <v>1</v>
      </c>
      <c r="K11">
        <v>21</v>
      </c>
      <c r="L11" s="30">
        <f t="shared" si="1"/>
        <v>0.11666666666666667</v>
      </c>
      <c r="M11">
        <f t="shared" si="5"/>
        <v>5</v>
      </c>
      <c r="N11">
        <v>51</v>
      </c>
      <c r="O11">
        <v>51</v>
      </c>
      <c r="P11" s="30">
        <f t="shared" si="3"/>
        <v>0.28333333333333333</v>
      </c>
      <c r="Q11">
        <f t="shared" si="4"/>
        <v>11</v>
      </c>
      <c r="R11">
        <f t="shared" si="0"/>
        <v>30</v>
      </c>
      <c r="S11" s="27" t="s">
        <v>538</v>
      </c>
      <c r="T11" t="s">
        <v>384</v>
      </c>
    </row>
    <row r="12" spans="1:22" x14ac:dyDescent="0.35">
      <c r="A12" t="s">
        <v>446</v>
      </c>
      <c r="B12" s="2">
        <v>24</v>
      </c>
      <c r="C12" s="96" t="s">
        <v>378</v>
      </c>
      <c r="D12" s="2">
        <f>10+9+9+6+6</f>
        <v>40</v>
      </c>
      <c r="E12" s="2" t="s">
        <v>68</v>
      </c>
      <c r="F12" s="95" t="s">
        <v>68</v>
      </c>
      <c r="J12" t="s">
        <v>446</v>
      </c>
      <c r="K12">
        <v>24</v>
      </c>
      <c r="L12" s="30">
        <f t="shared" si="1"/>
        <v>0.13333333333333333</v>
      </c>
      <c r="M12">
        <f t="shared" si="5"/>
        <v>8</v>
      </c>
      <c r="N12">
        <v>40</v>
      </c>
      <c r="O12">
        <v>40</v>
      </c>
      <c r="P12" s="30">
        <f t="shared" si="3"/>
        <v>0.22222222222222221</v>
      </c>
      <c r="Q12">
        <f t="shared" si="4"/>
        <v>0</v>
      </c>
      <c r="R12">
        <f t="shared" si="0"/>
        <v>16</v>
      </c>
      <c r="S12" t="s">
        <v>68</v>
      </c>
      <c r="T12" t="s">
        <v>378</v>
      </c>
    </row>
    <row r="13" spans="1:22" x14ac:dyDescent="0.35">
      <c r="A13" t="s">
        <v>388</v>
      </c>
      <c r="B13" s="2">
        <v>20</v>
      </c>
      <c r="C13" s="96" t="s">
        <v>389</v>
      </c>
      <c r="D13" s="2">
        <f>10+9+9+8+8+9</f>
        <v>53</v>
      </c>
      <c r="E13" s="2" t="s">
        <v>66</v>
      </c>
      <c r="F13" s="95" t="s">
        <v>68</v>
      </c>
      <c r="J13" t="s">
        <v>388</v>
      </c>
      <c r="K13">
        <v>20</v>
      </c>
      <c r="L13" s="30">
        <f t="shared" si="1"/>
        <v>0.1111111111111111</v>
      </c>
      <c r="M13">
        <f t="shared" si="5"/>
        <v>4</v>
      </c>
      <c r="N13">
        <v>53</v>
      </c>
      <c r="O13">
        <f t="shared" ref="O13:O30" si="6">N13-6</f>
        <v>47</v>
      </c>
      <c r="P13" s="30">
        <f t="shared" si="3"/>
        <v>0.26111111111111113</v>
      </c>
      <c r="Q13">
        <f t="shared" si="4"/>
        <v>7</v>
      </c>
      <c r="R13">
        <f t="shared" si="0"/>
        <v>33</v>
      </c>
      <c r="S13" t="s">
        <v>68</v>
      </c>
      <c r="T13" t="s">
        <v>389</v>
      </c>
    </row>
    <row r="14" spans="1:22" x14ac:dyDescent="0.35">
      <c r="A14" t="s">
        <v>2</v>
      </c>
      <c r="B14" s="2">
        <v>18</v>
      </c>
      <c r="C14" s="96" t="s">
        <v>378</v>
      </c>
      <c r="D14" s="2">
        <f>9+9+9+9+9+6+6+9</f>
        <v>66</v>
      </c>
      <c r="E14" s="2" t="s">
        <v>66</v>
      </c>
      <c r="F14" s="95" t="s">
        <v>68</v>
      </c>
      <c r="J14" t="s">
        <v>2</v>
      </c>
      <c r="K14">
        <v>18</v>
      </c>
      <c r="L14" s="30">
        <f t="shared" si="1"/>
        <v>0.1</v>
      </c>
      <c r="M14">
        <f t="shared" si="5"/>
        <v>2</v>
      </c>
      <c r="N14">
        <v>66</v>
      </c>
      <c r="O14">
        <f t="shared" si="6"/>
        <v>60</v>
      </c>
      <c r="P14" s="30">
        <f t="shared" si="3"/>
        <v>0.33333333333333331</v>
      </c>
      <c r="Q14">
        <f t="shared" si="4"/>
        <v>20</v>
      </c>
      <c r="R14">
        <f t="shared" si="0"/>
        <v>48</v>
      </c>
      <c r="S14" t="s">
        <v>68</v>
      </c>
      <c r="T14" t="s">
        <v>378</v>
      </c>
    </row>
    <row r="15" spans="1:22" x14ac:dyDescent="0.35">
      <c r="A15" t="s">
        <v>390</v>
      </c>
      <c r="B15" s="2">
        <v>24</v>
      </c>
      <c r="C15" s="96" t="s">
        <v>391</v>
      </c>
      <c r="D15" s="2">
        <f>8+8+8+8+8+8+8</f>
        <v>56</v>
      </c>
      <c r="E15" s="2" t="s">
        <v>66</v>
      </c>
      <c r="F15" s="95" t="s">
        <v>68</v>
      </c>
      <c r="J15" t="s">
        <v>390</v>
      </c>
      <c r="K15">
        <v>24</v>
      </c>
      <c r="L15" s="30">
        <f t="shared" si="1"/>
        <v>0.13333333333333333</v>
      </c>
      <c r="M15">
        <f t="shared" si="5"/>
        <v>8</v>
      </c>
      <c r="N15">
        <v>56</v>
      </c>
      <c r="O15">
        <f t="shared" si="6"/>
        <v>50</v>
      </c>
      <c r="P15" s="30">
        <f t="shared" si="3"/>
        <v>0.27777777777777779</v>
      </c>
      <c r="Q15">
        <f t="shared" si="4"/>
        <v>10</v>
      </c>
      <c r="R15">
        <f t="shared" si="0"/>
        <v>32</v>
      </c>
      <c r="S15" t="s">
        <v>68</v>
      </c>
      <c r="T15" t="s">
        <v>391</v>
      </c>
    </row>
    <row r="16" spans="1:22" x14ac:dyDescent="0.35">
      <c r="A16" t="s">
        <v>392</v>
      </c>
      <c r="B16" s="2">
        <v>21</v>
      </c>
      <c r="C16" s="96" t="s">
        <v>378</v>
      </c>
      <c r="D16" s="2">
        <f>9+6+6+9+6+9+6+9</f>
        <v>60</v>
      </c>
      <c r="E16" s="2" t="s">
        <v>66</v>
      </c>
      <c r="F16" s="95" t="s">
        <v>68</v>
      </c>
      <c r="J16" t="s">
        <v>392</v>
      </c>
      <c r="K16">
        <v>21</v>
      </c>
      <c r="L16" s="30">
        <f t="shared" si="1"/>
        <v>0.11666666666666667</v>
      </c>
      <c r="M16">
        <f t="shared" si="5"/>
        <v>5</v>
      </c>
      <c r="N16">
        <v>60</v>
      </c>
      <c r="O16">
        <f t="shared" si="6"/>
        <v>54</v>
      </c>
      <c r="P16" s="30">
        <f t="shared" si="3"/>
        <v>0.3</v>
      </c>
      <c r="Q16">
        <f t="shared" si="4"/>
        <v>14</v>
      </c>
      <c r="R16">
        <f t="shared" si="0"/>
        <v>39</v>
      </c>
      <c r="S16" t="s">
        <v>68</v>
      </c>
      <c r="T16" t="s">
        <v>378</v>
      </c>
    </row>
    <row r="17" spans="1:20" x14ac:dyDescent="0.35">
      <c r="A17" t="s">
        <v>453</v>
      </c>
      <c r="B17" s="2" t="s">
        <v>4</v>
      </c>
      <c r="C17" s="97" t="s">
        <v>393</v>
      </c>
      <c r="D17" s="2">
        <f>12+6+12+6+6+6</f>
        <v>48</v>
      </c>
      <c r="E17" s="2" t="s">
        <v>66</v>
      </c>
      <c r="F17" s="95" t="s">
        <v>68</v>
      </c>
      <c r="J17" t="s">
        <v>453</v>
      </c>
      <c r="K17" t="s">
        <v>4</v>
      </c>
      <c r="L17" s="30" t="s">
        <v>4</v>
      </c>
      <c r="M17" t="s">
        <v>4</v>
      </c>
      <c r="N17">
        <v>48</v>
      </c>
      <c r="O17">
        <f t="shared" si="6"/>
        <v>42</v>
      </c>
      <c r="P17" s="30">
        <f t="shared" si="3"/>
        <v>0.23333333333333334</v>
      </c>
      <c r="Q17">
        <f t="shared" si="4"/>
        <v>2</v>
      </c>
      <c r="R17" t="s">
        <v>4</v>
      </c>
      <c r="S17" t="s">
        <v>68</v>
      </c>
      <c r="T17" t="s">
        <v>393</v>
      </c>
    </row>
    <row r="18" spans="1:20" x14ac:dyDescent="0.35">
      <c r="A18" t="s">
        <v>394</v>
      </c>
      <c r="B18" s="2">
        <v>24</v>
      </c>
      <c r="C18" s="97" t="s">
        <v>395</v>
      </c>
      <c r="D18" s="2">
        <f>8+8+8+8+8+8+8+10</f>
        <v>66</v>
      </c>
      <c r="E18" s="2" t="s">
        <v>66</v>
      </c>
      <c r="F18" s="95" t="s">
        <v>68</v>
      </c>
      <c r="J18" t="s">
        <v>394</v>
      </c>
      <c r="K18">
        <v>24</v>
      </c>
      <c r="L18" s="30">
        <f t="shared" si="1"/>
        <v>0.13333333333333333</v>
      </c>
      <c r="M18">
        <f t="shared" si="5"/>
        <v>8</v>
      </c>
      <c r="N18">
        <v>66</v>
      </c>
      <c r="O18">
        <f t="shared" si="6"/>
        <v>60</v>
      </c>
      <c r="P18" s="30">
        <f t="shared" si="3"/>
        <v>0.33333333333333331</v>
      </c>
      <c r="Q18">
        <f t="shared" si="4"/>
        <v>20</v>
      </c>
      <c r="R18">
        <f t="shared" ref="R18:R38" si="7">N18-K18</f>
        <v>42</v>
      </c>
      <c r="S18" t="s">
        <v>68</v>
      </c>
      <c r="T18" t="s">
        <v>395</v>
      </c>
    </row>
    <row r="19" spans="1:20" x14ac:dyDescent="0.35">
      <c r="A19" t="s">
        <v>401</v>
      </c>
      <c r="B19" s="2">
        <v>42</v>
      </c>
      <c r="C19" s="96" t="s">
        <v>393</v>
      </c>
      <c r="D19" s="2">
        <f>12+12+9+6+9</f>
        <v>48</v>
      </c>
      <c r="E19" s="2" t="s">
        <v>69</v>
      </c>
      <c r="F19" s="95" t="s">
        <v>68</v>
      </c>
      <c r="J19" t="s">
        <v>401</v>
      </c>
      <c r="K19">
        <v>42</v>
      </c>
      <c r="L19" s="30">
        <f t="shared" si="1"/>
        <v>0.23333333333333334</v>
      </c>
      <c r="M19">
        <f t="shared" si="5"/>
        <v>26</v>
      </c>
      <c r="N19">
        <v>48</v>
      </c>
      <c r="O19">
        <v>48</v>
      </c>
      <c r="P19" s="30">
        <f t="shared" si="3"/>
        <v>0.26666666666666666</v>
      </c>
      <c r="Q19">
        <f t="shared" si="4"/>
        <v>8</v>
      </c>
      <c r="R19">
        <f t="shared" si="7"/>
        <v>6</v>
      </c>
      <c r="S19" t="s">
        <v>68</v>
      </c>
      <c r="T19" t="s">
        <v>393</v>
      </c>
    </row>
    <row r="20" spans="1:20" x14ac:dyDescent="0.35">
      <c r="A20" t="s">
        <v>447</v>
      </c>
      <c r="B20" s="2">
        <f>8*5</f>
        <v>40</v>
      </c>
      <c r="C20" s="96" t="s">
        <v>507</v>
      </c>
      <c r="D20" s="2">
        <f>8+8+8+8+8+8+8</f>
        <v>56</v>
      </c>
      <c r="E20" s="2" t="s">
        <v>66</v>
      </c>
      <c r="F20" s="100" t="s">
        <v>68</v>
      </c>
      <c r="G20" s="2"/>
      <c r="J20" t="s">
        <v>447</v>
      </c>
      <c r="K20">
        <v>40</v>
      </c>
      <c r="L20" s="30">
        <f t="shared" si="1"/>
        <v>0.22222222222222221</v>
      </c>
      <c r="M20">
        <f t="shared" si="5"/>
        <v>24</v>
      </c>
      <c r="N20">
        <v>56</v>
      </c>
      <c r="O20">
        <f t="shared" si="6"/>
        <v>50</v>
      </c>
      <c r="P20" s="30">
        <f t="shared" si="3"/>
        <v>0.27777777777777779</v>
      </c>
      <c r="Q20">
        <f t="shared" si="4"/>
        <v>10</v>
      </c>
      <c r="R20">
        <f t="shared" si="7"/>
        <v>16</v>
      </c>
      <c r="S20" t="s">
        <v>68</v>
      </c>
      <c r="T20" t="s">
        <v>507</v>
      </c>
    </row>
    <row r="21" spans="1:20" x14ac:dyDescent="0.35">
      <c r="A21" t="s">
        <v>3</v>
      </c>
      <c r="B21" s="2">
        <v>22</v>
      </c>
      <c r="C21" s="96" t="s">
        <v>378</v>
      </c>
      <c r="D21" s="2">
        <f>15+15+12+8</f>
        <v>50</v>
      </c>
      <c r="E21" s="2" t="s">
        <v>66</v>
      </c>
      <c r="F21" s="95" t="s">
        <v>68</v>
      </c>
      <c r="J21" t="s">
        <v>3</v>
      </c>
      <c r="K21">
        <v>22</v>
      </c>
      <c r="L21" s="30">
        <f t="shared" si="1"/>
        <v>0.12222222222222222</v>
      </c>
      <c r="M21">
        <f t="shared" si="5"/>
        <v>6</v>
      </c>
      <c r="N21">
        <v>50</v>
      </c>
      <c r="O21">
        <f t="shared" si="6"/>
        <v>44</v>
      </c>
      <c r="P21" s="30">
        <f t="shared" si="3"/>
        <v>0.24444444444444444</v>
      </c>
      <c r="Q21">
        <f t="shared" si="4"/>
        <v>4</v>
      </c>
      <c r="R21">
        <f t="shared" si="7"/>
        <v>28</v>
      </c>
      <c r="S21" t="s">
        <v>68</v>
      </c>
      <c r="T21" t="s">
        <v>378</v>
      </c>
    </row>
    <row r="22" spans="1:20" x14ac:dyDescent="0.35">
      <c r="A22" t="s">
        <v>484</v>
      </c>
      <c r="B22" s="2">
        <v>23</v>
      </c>
      <c r="C22" s="96" t="s">
        <v>385</v>
      </c>
      <c r="D22" s="2">
        <f>9+8+6+6+8+6+6</f>
        <v>49</v>
      </c>
      <c r="E22" s="2" t="s">
        <v>66</v>
      </c>
      <c r="F22" s="95" t="s">
        <v>68</v>
      </c>
      <c r="J22" t="s">
        <v>484</v>
      </c>
      <c r="K22">
        <v>23</v>
      </c>
      <c r="L22" s="30">
        <f t="shared" si="1"/>
        <v>0.12777777777777777</v>
      </c>
      <c r="M22">
        <f t="shared" si="5"/>
        <v>7</v>
      </c>
      <c r="N22">
        <v>49</v>
      </c>
      <c r="O22">
        <f t="shared" si="6"/>
        <v>43</v>
      </c>
      <c r="P22" s="30">
        <f t="shared" si="3"/>
        <v>0.2388888888888889</v>
      </c>
      <c r="Q22">
        <f t="shared" si="4"/>
        <v>3</v>
      </c>
      <c r="R22">
        <f t="shared" si="7"/>
        <v>26</v>
      </c>
      <c r="S22" t="s">
        <v>68</v>
      </c>
      <c r="T22" t="s">
        <v>385</v>
      </c>
    </row>
    <row r="23" spans="1:20" x14ac:dyDescent="0.35">
      <c r="A23" t="s">
        <v>451</v>
      </c>
      <c r="B23" s="2">
        <v>30</v>
      </c>
      <c r="C23" s="96" t="s">
        <v>385</v>
      </c>
      <c r="D23" s="2">
        <f>6+9+9+6+6+6+6</f>
        <v>48</v>
      </c>
      <c r="E23" s="2" t="s">
        <v>66</v>
      </c>
      <c r="F23" s="95" t="s">
        <v>68</v>
      </c>
      <c r="J23" t="s">
        <v>451</v>
      </c>
      <c r="K23">
        <v>30</v>
      </c>
      <c r="L23" s="30">
        <f t="shared" si="1"/>
        <v>0.16666666666666666</v>
      </c>
      <c r="M23">
        <f t="shared" si="5"/>
        <v>14</v>
      </c>
      <c r="N23">
        <v>48</v>
      </c>
      <c r="O23">
        <f t="shared" si="6"/>
        <v>42</v>
      </c>
      <c r="P23" s="30">
        <f t="shared" si="3"/>
        <v>0.23333333333333334</v>
      </c>
      <c r="Q23">
        <f t="shared" si="4"/>
        <v>2</v>
      </c>
      <c r="R23">
        <f t="shared" si="7"/>
        <v>18</v>
      </c>
      <c r="S23" t="s">
        <v>68</v>
      </c>
      <c r="T23" t="s">
        <v>385</v>
      </c>
    </row>
    <row r="24" spans="1:20" x14ac:dyDescent="0.35">
      <c r="A24" t="s">
        <v>448</v>
      </c>
      <c r="B24" s="2">
        <v>25</v>
      </c>
      <c r="C24" s="96" t="s">
        <v>378</v>
      </c>
      <c r="D24" s="2">
        <f>10+10+10+15+10+10+10</f>
        <v>75</v>
      </c>
      <c r="E24" s="2" t="s">
        <v>66</v>
      </c>
      <c r="F24" s="95" t="s">
        <v>68</v>
      </c>
      <c r="J24" t="s">
        <v>448</v>
      </c>
      <c r="K24">
        <v>25</v>
      </c>
      <c r="L24" s="30">
        <f t="shared" si="1"/>
        <v>0.1388888888888889</v>
      </c>
      <c r="M24">
        <f t="shared" si="5"/>
        <v>9</v>
      </c>
      <c r="N24">
        <v>75</v>
      </c>
      <c r="O24">
        <f t="shared" si="6"/>
        <v>69</v>
      </c>
      <c r="P24" s="30">
        <f t="shared" si="3"/>
        <v>0.38333333333333336</v>
      </c>
      <c r="Q24">
        <f t="shared" si="4"/>
        <v>29</v>
      </c>
      <c r="R24">
        <f t="shared" si="7"/>
        <v>50</v>
      </c>
      <c r="S24" t="s">
        <v>68</v>
      </c>
      <c r="T24" t="s">
        <v>378</v>
      </c>
    </row>
    <row r="25" spans="1:20" x14ac:dyDescent="0.35">
      <c r="A25" t="s">
        <v>194</v>
      </c>
      <c r="B25" s="2">
        <f>9+8+8</f>
        <v>25</v>
      </c>
      <c r="C25" s="96" t="s">
        <v>385</v>
      </c>
      <c r="D25" s="2">
        <f>9+10+9+8+8+8</f>
        <v>52</v>
      </c>
      <c r="E25" s="2" t="s">
        <v>66</v>
      </c>
      <c r="F25" s="98" t="s">
        <v>66</v>
      </c>
      <c r="J25" t="s">
        <v>194</v>
      </c>
      <c r="K25">
        <v>25</v>
      </c>
      <c r="L25" s="30">
        <f t="shared" si="1"/>
        <v>0.1388888888888889</v>
      </c>
      <c r="M25">
        <f t="shared" si="5"/>
        <v>9</v>
      </c>
      <c r="N25">
        <v>52</v>
      </c>
      <c r="O25">
        <f t="shared" si="6"/>
        <v>46</v>
      </c>
      <c r="P25" s="30">
        <f t="shared" si="3"/>
        <v>0.25555555555555554</v>
      </c>
      <c r="Q25">
        <f t="shared" si="4"/>
        <v>6</v>
      </c>
      <c r="R25">
        <f t="shared" si="7"/>
        <v>27</v>
      </c>
      <c r="S25" s="27" t="s">
        <v>66</v>
      </c>
      <c r="T25" t="s">
        <v>385</v>
      </c>
    </row>
    <row r="26" spans="1:20" x14ac:dyDescent="0.35">
      <c r="A26" t="s">
        <v>5</v>
      </c>
      <c r="B26" s="2">
        <v>24</v>
      </c>
      <c r="C26" s="96" t="s">
        <v>384</v>
      </c>
      <c r="D26" s="2">
        <f>9+6+9+9+9+6+18</f>
        <v>66</v>
      </c>
      <c r="E26" s="2" t="s">
        <v>66</v>
      </c>
      <c r="F26" s="95" t="s">
        <v>68</v>
      </c>
      <c r="J26" t="s">
        <v>5</v>
      </c>
      <c r="K26">
        <v>24</v>
      </c>
      <c r="L26" s="30">
        <f t="shared" si="1"/>
        <v>0.13333333333333333</v>
      </c>
      <c r="M26">
        <f t="shared" si="5"/>
        <v>8</v>
      </c>
      <c r="N26">
        <v>66</v>
      </c>
      <c r="O26">
        <f t="shared" si="6"/>
        <v>60</v>
      </c>
      <c r="P26" s="30">
        <f t="shared" si="3"/>
        <v>0.33333333333333331</v>
      </c>
      <c r="Q26">
        <f t="shared" si="4"/>
        <v>20</v>
      </c>
      <c r="R26">
        <f t="shared" si="7"/>
        <v>42</v>
      </c>
      <c r="S26" t="s">
        <v>68</v>
      </c>
      <c r="T26" t="s">
        <v>384</v>
      </c>
    </row>
    <row r="27" spans="1:20" x14ac:dyDescent="0.35">
      <c r="A27" t="s">
        <v>6</v>
      </c>
      <c r="B27" s="2">
        <v>21</v>
      </c>
      <c r="C27" s="96" t="s">
        <v>378</v>
      </c>
      <c r="D27" s="2">
        <f>12+9+6+18</f>
        <v>45</v>
      </c>
      <c r="E27" s="2" t="s">
        <v>68</v>
      </c>
      <c r="F27" s="95" t="s">
        <v>68</v>
      </c>
      <c r="J27" t="s">
        <v>6</v>
      </c>
      <c r="K27">
        <v>21</v>
      </c>
      <c r="L27" s="30">
        <f t="shared" si="1"/>
        <v>0.11666666666666667</v>
      </c>
      <c r="M27">
        <f t="shared" si="5"/>
        <v>5</v>
      </c>
      <c r="N27">
        <v>45</v>
      </c>
      <c r="O27">
        <v>45</v>
      </c>
      <c r="P27" s="30">
        <f t="shared" si="3"/>
        <v>0.25</v>
      </c>
      <c r="Q27">
        <f t="shared" si="4"/>
        <v>5</v>
      </c>
      <c r="R27">
        <f t="shared" si="7"/>
        <v>24</v>
      </c>
      <c r="S27" t="s">
        <v>68</v>
      </c>
      <c r="T27" t="s">
        <v>378</v>
      </c>
    </row>
    <row r="28" spans="1:20" x14ac:dyDescent="0.35">
      <c r="A28" t="s">
        <v>7</v>
      </c>
      <c r="B28" s="2">
        <v>30</v>
      </c>
      <c r="C28" s="96" t="s">
        <v>378</v>
      </c>
      <c r="D28" s="2">
        <f>12+9+12+9</f>
        <v>42</v>
      </c>
      <c r="E28" s="2" t="s">
        <v>66</v>
      </c>
      <c r="F28" s="95" t="s">
        <v>68</v>
      </c>
      <c r="J28" t="s">
        <v>539</v>
      </c>
      <c r="K28">
        <v>30</v>
      </c>
      <c r="L28" s="30">
        <f t="shared" si="1"/>
        <v>0.16666666666666666</v>
      </c>
      <c r="M28">
        <f t="shared" si="5"/>
        <v>14</v>
      </c>
      <c r="N28">
        <v>42</v>
      </c>
      <c r="O28">
        <v>42</v>
      </c>
      <c r="P28" s="30">
        <f t="shared" si="3"/>
        <v>0.23333333333333334</v>
      </c>
      <c r="Q28">
        <f t="shared" si="4"/>
        <v>2</v>
      </c>
      <c r="R28">
        <f t="shared" si="7"/>
        <v>12</v>
      </c>
      <c r="S28" t="s">
        <v>68</v>
      </c>
      <c r="T28" t="s">
        <v>378</v>
      </c>
    </row>
    <row r="29" spans="1:20" x14ac:dyDescent="0.35">
      <c r="A29" t="s">
        <v>454</v>
      </c>
      <c r="B29" s="2">
        <v>24</v>
      </c>
      <c r="C29" s="97" t="s">
        <v>400</v>
      </c>
      <c r="D29" s="2">
        <f>8*8</f>
        <v>64</v>
      </c>
      <c r="E29" s="2" t="s">
        <v>68</v>
      </c>
      <c r="F29" s="95" t="s">
        <v>68</v>
      </c>
      <c r="J29" t="s">
        <v>454</v>
      </c>
      <c r="K29">
        <v>24</v>
      </c>
      <c r="L29" s="30">
        <f t="shared" si="1"/>
        <v>0.13333333333333333</v>
      </c>
      <c r="M29">
        <f t="shared" si="5"/>
        <v>8</v>
      </c>
      <c r="N29">
        <v>64</v>
      </c>
      <c r="O29">
        <v>64</v>
      </c>
      <c r="P29" s="30">
        <f t="shared" si="3"/>
        <v>0.35555555555555557</v>
      </c>
      <c r="Q29">
        <f t="shared" si="4"/>
        <v>24</v>
      </c>
      <c r="R29">
        <f t="shared" si="7"/>
        <v>40</v>
      </c>
      <c r="S29" t="s">
        <v>68</v>
      </c>
      <c r="T29" t="s">
        <v>400</v>
      </c>
    </row>
    <row r="30" spans="1:20" x14ac:dyDescent="0.35">
      <c r="A30" t="s">
        <v>449</v>
      </c>
      <c r="B30" s="2">
        <v>27</v>
      </c>
      <c r="C30" s="96" t="s">
        <v>385</v>
      </c>
      <c r="D30" s="2">
        <f>9+9+9+9+9+6+6+6+6</f>
        <v>69</v>
      </c>
      <c r="E30" s="2" t="s">
        <v>66</v>
      </c>
      <c r="F30" s="98" t="s">
        <v>399</v>
      </c>
      <c r="J30" t="s">
        <v>449</v>
      </c>
      <c r="K30">
        <v>27</v>
      </c>
      <c r="L30" s="30">
        <f t="shared" si="1"/>
        <v>0.15</v>
      </c>
      <c r="M30">
        <f t="shared" si="5"/>
        <v>11</v>
      </c>
      <c r="N30">
        <v>69</v>
      </c>
      <c r="O30">
        <f t="shared" si="6"/>
        <v>63</v>
      </c>
      <c r="P30" s="30">
        <f t="shared" si="3"/>
        <v>0.35</v>
      </c>
      <c r="Q30">
        <f t="shared" si="4"/>
        <v>23</v>
      </c>
      <c r="R30">
        <f t="shared" si="7"/>
        <v>42</v>
      </c>
      <c r="S30" s="27" t="s">
        <v>399</v>
      </c>
      <c r="T30" t="s">
        <v>385</v>
      </c>
    </row>
    <row r="31" spans="1:20" x14ac:dyDescent="0.35">
      <c r="A31" t="s">
        <v>8</v>
      </c>
      <c r="B31" s="2">
        <v>27</v>
      </c>
      <c r="C31" s="96" t="s">
        <v>396</v>
      </c>
      <c r="D31" s="2">
        <f>9+9+9+9+9+9+9</f>
        <v>63</v>
      </c>
      <c r="E31" s="2" t="s">
        <v>68</v>
      </c>
      <c r="F31" s="98" t="s">
        <v>66</v>
      </c>
      <c r="J31" t="s">
        <v>8</v>
      </c>
      <c r="K31">
        <v>27</v>
      </c>
      <c r="L31" s="30">
        <f t="shared" si="1"/>
        <v>0.15</v>
      </c>
      <c r="M31">
        <f t="shared" si="5"/>
        <v>11</v>
      </c>
      <c r="N31">
        <v>63</v>
      </c>
      <c r="O31">
        <v>63</v>
      </c>
      <c r="P31" s="30">
        <f t="shared" si="3"/>
        <v>0.35</v>
      </c>
      <c r="Q31">
        <f t="shared" si="4"/>
        <v>23</v>
      </c>
      <c r="R31">
        <f t="shared" si="7"/>
        <v>36</v>
      </c>
      <c r="S31" s="27" t="s">
        <v>66</v>
      </c>
      <c r="T31" t="s">
        <v>396</v>
      </c>
    </row>
    <row r="32" spans="1:20" x14ac:dyDescent="0.35">
      <c r="A32" t="s">
        <v>450</v>
      </c>
      <c r="B32" s="2">
        <v>27</v>
      </c>
      <c r="C32" s="96" t="s">
        <v>389</v>
      </c>
      <c r="D32" s="2">
        <f>9+9+9+6+6+6+9</f>
        <v>54</v>
      </c>
      <c r="E32" s="2" t="s">
        <v>68</v>
      </c>
      <c r="F32" s="98" t="s">
        <v>66</v>
      </c>
      <c r="J32" t="s">
        <v>450</v>
      </c>
      <c r="K32">
        <v>27</v>
      </c>
      <c r="L32" s="30">
        <f t="shared" si="1"/>
        <v>0.15</v>
      </c>
      <c r="M32">
        <f t="shared" si="5"/>
        <v>11</v>
      </c>
      <c r="N32">
        <v>54</v>
      </c>
      <c r="O32">
        <v>54</v>
      </c>
      <c r="P32" s="30">
        <f t="shared" si="3"/>
        <v>0.3</v>
      </c>
      <c r="Q32">
        <f t="shared" si="4"/>
        <v>14</v>
      </c>
      <c r="R32">
        <f t="shared" si="7"/>
        <v>27</v>
      </c>
      <c r="S32" s="27" t="s">
        <v>66</v>
      </c>
      <c r="T32" t="s">
        <v>389</v>
      </c>
    </row>
    <row r="33" spans="1:20" x14ac:dyDescent="0.35">
      <c r="A33" t="s">
        <v>9</v>
      </c>
      <c r="B33" s="2">
        <v>24</v>
      </c>
      <c r="C33" s="96" t="s">
        <v>389</v>
      </c>
      <c r="D33" s="2">
        <f>8*10</f>
        <v>80</v>
      </c>
      <c r="E33" s="2" t="s">
        <v>66</v>
      </c>
      <c r="F33" s="95" t="s">
        <v>68</v>
      </c>
      <c r="J33" t="s">
        <v>9</v>
      </c>
      <c r="K33">
        <v>24</v>
      </c>
      <c r="L33" s="30">
        <f t="shared" si="1"/>
        <v>0.13333333333333333</v>
      </c>
      <c r="M33">
        <f t="shared" si="5"/>
        <v>8</v>
      </c>
      <c r="N33">
        <v>80</v>
      </c>
      <c r="O33">
        <f t="shared" ref="O33:O36" si="8">N33-6</f>
        <v>74</v>
      </c>
      <c r="P33" s="30">
        <f t="shared" si="3"/>
        <v>0.41111111111111109</v>
      </c>
      <c r="Q33">
        <f t="shared" si="4"/>
        <v>34</v>
      </c>
      <c r="R33">
        <f t="shared" si="7"/>
        <v>56</v>
      </c>
      <c r="S33" t="s">
        <v>68</v>
      </c>
      <c r="T33" t="s">
        <v>389</v>
      </c>
    </row>
    <row r="34" spans="1:20" x14ac:dyDescent="0.35">
      <c r="A34" t="s">
        <v>10</v>
      </c>
      <c r="B34" s="2">
        <v>16</v>
      </c>
      <c r="C34" s="96" t="s">
        <v>397</v>
      </c>
      <c r="D34" s="2">
        <f>12+6+12+12+9+6+6</f>
        <v>63</v>
      </c>
      <c r="E34" s="2" t="s">
        <v>66</v>
      </c>
      <c r="F34" s="95" t="s">
        <v>68</v>
      </c>
      <c r="J34" t="s">
        <v>10</v>
      </c>
      <c r="K34">
        <v>16</v>
      </c>
      <c r="L34" s="30">
        <f t="shared" si="1"/>
        <v>8.8888888888888892E-2</v>
      </c>
      <c r="M34">
        <f t="shared" si="5"/>
        <v>0</v>
      </c>
      <c r="N34">
        <v>63</v>
      </c>
      <c r="O34">
        <f t="shared" si="8"/>
        <v>57</v>
      </c>
      <c r="P34" s="30">
        <f t="shared" si="3"/>
        <v>0.31666666666666665</v>
      </c>
      <c r="Q34">
        <f t="shared" si="4"/>
        <v>17</v>
      </c>
      <c r="R34">
        <f t="shared" si="7"/>
        <v>47</v>
      </c>
      <c r="S34" t="s">
        <v>68</v>
      </c>
      <c r="T34" t="s">
        <v>397</v>
      </c>
    </row>
    <row r="35" spans="1:20" x14ac:dyDescent="0.35">
      <c r="A35" t="s">
        <v>11</v>
      </c>
      <c r="B35" s="2">
        <v>20</v>
      </c>
      <c r="C35" s="96" t="s">
        <v>393</v>
      </c>
      <c r="D35" s="2">
        <f>12+6+8+8+6+6</f>
        <v>46</v>
      </c>
      <c r="E35" s="2" t="s">
        <v>66</v>
      </c>
      <c r="F35" s="95" t="s">
        <v>68</v>
      </c>
      <c r="J35" t="s">
        <v>11</v>
      </c>
      <c r="K35">
        <v>20</v>
      </c>
      <c r="L35" s="30">
        <f t="shared" si="1"/>
        <v>0.1111111111111111</v>
      </c>
      <c r="M35">
        <f t="shared" si="5"/>
        <v>4</v>
      </c>
      <c r="N35">
        <v>46</v>
      </c>
      <c r="O35">
        <f t="shared" si="8"/>
        <v>40</v>
      </c>
      <c r="P35" s="30">
        <f t="shared" si="3"/>
        <v>0.22222222222222221</v>
      </c>
      <c r="Q35">
        <f t="shared" si="4"/>
        <v>0</v>
      </c>
      <c r="R35">
        <f t="shared" si="7"/>
        <v>26</v>
      </c>
      <c r="S35" t="s">
        <v>68</v>
      </c>
      <c r="T35" t="s">
        <v>393</v>
      </c>
    </row>
    <row r="36" spans="1:20" x14ac:dyDescent="0.35">
      <c r="A36" t="s">
        <v>67</v>
      </c>
      <c r="B36" s="2">
        <v>26</v>
      </c>
      <c r="C36" s="96" t="s">
        <v>378</v>
      </c>
      <c r="D36" s="2">
        <f>12+9+9+6+6+9+9</f>
        <v>60</v>
      </c>
      <c r="E36" s="2" t="s">
        <v>66</v>
      </c>
      <c r="F36" s="2" t="s">
        <v>68</v>
      </c>
      <c r="J36" t="s">
        <v>67</v>
      </c>
      <c r="K36">
        <v>26</v>
      </c>
      <c r="L36" s="30">
        <f t="shared" si="1"/>
        <v>0.14444444444444443</v>
      </c>
      <c r="M36">
        <f t="shared" si="5"/>
        <v>10</v>
      </c>
      <c r="N36">
        <v>60</v>
      </c>
      <c r="O36">
        <f t="shared" si="8"/>
        <v>54</v>
      </c>
      <c r="P36" s="30">
        <f t="shared" si="3"/>
        <v>0.3</v>
      </c>
      <c r="Q36">
        <f t="shared" si="4"/>
        <v>14</v>
      </c>
      <c r="R36">
        <f t="shared" si="7"/>
        <v>34</v>
      </c>
      <c r="S36" t="s">
        <v>68</v>
      </c>
      <c r="T36" t="s">
        <v>378</v>
      </c>
    </row>
    <row r="37" spans="1:20" x14ac:dyDescent="0.35">
      <c r="A37" t="s">
        <v>12</v>
      </c>
      <c r="B37" s="2">
        <v>24</v>
      </c>
      <c r="C37" s="96" t="s">
        <v>378</v>
      </c>
      <c r="D37" s="2">
        <f>12+12+12+12</f>
        <v>48</v>
      </c>
      <c r="E37" s="2" t="s">
        <v>68</v>
      </c>
      <c r="F37" s="2" t="s">
        <v>68</v>
      </c>
      <c r="J37" t="s">
        <v>12</v>
      </c>
      <c r="K37">
        <v>24</v>
      </c>
      <c r="L37" s="30">
        <f t="shared" si="1"/>
        <v>0.13333333333333333</v>
      </c>
      <c r="M37">
        <f t="shared" si="5"/>
        <v>8</v>
      </c>
      <c r="N37">
        <v>48</v>
      </c>
      <c r="O37">
        <v>48</v>
      </c>
      <c r="P37" s="30">
        <f t="shared" si="3"/>
        <v>0.26666666666666666</v>
      </c>
      <c r="Q37">
        <f t="shared" si="4"/>
        <v>8</v>
      </c>
      <c r="R37">
        <f t="shared" si="7"/>
        <v>24</v>
      </c>
      <c r="S37" t="s">
        <v>68</v>
      </c>
      <c r="T37" t="s">
        <v>378</v>
      </c>
    </row>
    <row r="38" spans="1:20" x14ac:dyDescent="0.35">
      <c r="A38" t="s">
        <v>13</v>
      </c>
      <c r="B38" s="2">
        <v>36</v>
      </c>
      <c r="C38" s="96" t="s">
        <v>378</v>
      </c>
      <c r="D38" s="2">
        <f>9+9+9+6+9+9</f>
        <v>51</v>
      </c>
      <c r="E38" s="2" t="s">
        <v>66</v>
      </c>
      <c r="F38" s="2" t="s">
        <v>68</v>
      </c>
      <c r="J38" t="s">
        <v>13</v>
      </c>
      <c r="K38">
        <v>36</v>
      </c>
      <c r="L38" s="30">
        <f t="shared" si="1"/>
        <v>0.2</v>
      </c>
      <c r="M38">
        <f t="shared" si="5"/>
        <v>20</v>
      </c>
      <c r="N38">
        <v>51</v>
      </c>
      <c r="O38">
        <f t="shared" ref="O38" si="9">N38-6</f>
        <v>45</v>
      </c>
      <c r="P38" s="30">
        <f t="shared" si="3"/>
        <v>0.25</v>
      </c>
      <c r="Q38">
        <f t="shared" si="4"/>
        <v>5</v>
      </c>
      <c r="R38">
        <f t="shared" si="7"/>
        <v>15</v>
      </c>
      <c r="S38" t="s">
        <v>68</v>
      </c>
      <c r="T38" t="s">
        <v>378</v>
      </c>
    </row>
    <row r="39" spans="1:20" x14ac:dyDescent="0.35">
      <c r="F39" s="95"/>
    </row>
    <row r="40" spans="1:20" x14ac:dyDescent="0.35">
      <c r="B40" s="151" t="s">
        <v>14</v>
      </c>
      <c r="C40" s="151"/>
      <c r="D40" s="151" t="s">
        <v>17</v>
      </c>
      <c r="E40" s="151" t="s">
        <v>18</v>
      </c>
    </row>
    <row r="41" spans="1:20" ht="71.5" x14ac:dyDescent="0.35">
      <c r="B41" s="3" t="s">
        <v>15</v>
      </c>
      <c r="C41" s="3"/>
      <c r="D41" s="13">
        <f>AVERAGE(B3:B38)</f>
        <v>24.4</v>
      </c>
      <c r="E41" s="13">
        <f>AVERAGE(D3:D38)</f>
        <v>58</v>
      </c>
      <c r="J41" s="157" t="s">
        <v>14</v>
      </c>
      <c r="K41" s="159" t="s">
        <v>373</v>
      </c>
      <c r="L41" s="158" t="s">
        <v>535</v>
      </c>
      <c r="M41" s="153" t="s">
        <v>549</v>
      </c>
      <c r="N41" s="158" t="s">
        <v>550</v>
      </c>
      <c r="O41" s="158" t="s">
        <v>537</v>
      </c>
      <c r="P41" s="158" t="s">
        <v>535</v>
      </c>
      <c r="Q41" s="153" t="s">
        <v>548</v>
      </c>
      <c r="R41" s="153" t="s">
        <v>536</v>
      </c>
    </row>
    <row r="42" spans="1:20" x14ac:dyDescent="0.35">
      <c r="B42" s="3" t="s">
        <v>304</v>
      </c>
      <c r="C42" s="3"/>
      <c r="D42">
        <f>MIN(B3:B38)</f>
        <v>16</v>
      </c>
      <c r="E42">
        <f>MIN(D3:D38)</f>
        <v>40</v>
      </c>
      <c r="J42" s="156" t="s">
        <v>15</v>
      </c>
      <c r="K42">
        <f>AVERAGE(K3:K38)</f>
        <v>24.4</v>
      </c>
      <c r="L42" s="30">
        <f t="shared" ref="L42:R42" si="10">AVERAGE(L3:L38)</f>
        <v>0.13555555555555557</v>
      </c>
      <c r="M42">
        <f t="shared" si="10"/>
        <v>8.4</v>
      </c>
      <c r="N42">
        <f t="shared" si="10"/>
        <v>58</v>
      </c>
      <c r="O42" s="152">
        <f t="shared" si="10"/>
        <v>53.833333333333336</v>
      </c>
      <c r="P42" s="30">
        <f t="shared" si="10"/>
        <v>0.2990740740740741</v>
      </c>
      <c r="Q42" s="152">
        <f t="shared" si="10"/>
        <v>13.833333333333334</v>
      </c>
      <c r="R42" s="152">
        <f t="shared" si="10"/>
        <v>33.885714285714286</v>
      </c>
    </row>
    <row r="43" spans="1:20" x14ac:dyDescent="0.35">
      <c r="B43" s="3" t="s">
        <v>16</v>
      </c>
      <c r="C43" s="3"/>
      <c r="D43">
        <f>MAX(B3:B38)</f>
        <v>42</v>
      </c>
      <c r="E43">
        <f>MAX(D3:D38)</f>
        <v>80</v>
      </c>
      <c r="J43" s="156" t="s">
        <v>542</v>
      </c>
      <c r="K43">
        <f>MIN(K3:K38)</f>
        <v>16</v>
      </c>
      <c r="L43" s="30">
        <f t="shared" ref="L43:R43" si="11">MIN(L3:L38)</f>
        <v>8.8888888888888892E-2</v>
      </c>
      <c r="M43">
        <f t="shared" si="11"/>
        <v>0</v>
      </c>
      <c r="N43">
        <f t="shared" si="11"/>
        <v>40</v>
      </c>
      <c r="O43">
        <f t="shared" si="11"/>
        <v>40</v>
      </c>
      <c r="P43" s="30">
        <f t="shared" si="11"/>
        <v>0.22222222222222221</v>
      </c>
      <c r="Q43">
        <f t="shared" si="11"/>
        <v>0</v>
      </c>
      <c r="R43">
        <f t="shared" si="11"/>
        <v>6</v>
      </c>
    </row>
    <row r="44" spans="1:20" x14ac:dyDescent="0.35">
      <c r="J44" s="156" t="s">
        <v>16</v>
      </c>
      <c r="K44">
        <f>MAX(K3:K38)</f>
        <v>42</v>
      </c>
      <c r="L44" s="30">
        <f t="shared" ref="L44:R44" si="12">MAX(L3:L38)</f>
        <v>0.23333333333333334</v>
      </c>
      <c r="M44">
        <f t="shared" si="12"/>
        <v>26</v>
      </c>
      <c r="N44">
        <f t="shared" si="12"/>
        <v>80</v>
      </c>
      <c r="O44">
        <f t="shared" si="12"/>
        <v>74</v>
      </c>
      <c r="P44" s="30">
        <f t="shared" si="12"/>
        <v>0.41111111111111109</v>
      </c>
      <c r="Q44">
        <f t="shared" si="12"/>
        <v>34</v>
      </c>
      <c r="R44">
        <f t="shared" si="12"/>
        <v>59</v>
      </c>
    </row>
  </sheetData>
  <mergeCells count="5">
    <mergeCell ref="A1:E1"/>
    <mergeCell ref="G1:G2"/>
    <mergeCell ref="E11:F11"/>
    <mergeCell ref="V1:V2"/>
    <mergeCell ref="J1:U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9C56-7DC6-48A4-8AD6-713D367017A1}">
  <dimension ref="A1:G16"/>
  <sheetViews>
    <sheetView workbookViewId="0">
      <selection activeCell="L13" sqref="L13"/>
    </sheetView>
  </sheetViews>
  <sheetFormatPr defaultRowHeight="15.5" x14ac:dyDescent="0.35"/>
  <sheetData>
    <row r="1" spans="1:7" ht="16" thickBot="1" x14ac:dyDescent="0.4">
      <c r="A1" s="178" t="s">
        <v>404</v>
      </c>
      <c r="B1" s="179"/>
      <c r="C1" s="179"/>
      <c r="D1" s="179"/>
      <c r="E1" s="179"/>
      <c r="F1" s="179"/>
      <c r="G1" s="180"/>
    </row>
    <row r="2" spans="1:7" ht="44" thickBot="1" x14ac:dyDescent="0.4">
      <c r="A2" s="101" t="s">
        <v>405</v>
      </c>
      <c r="B2" s="102" t="s">
        <v>406</v>
      </c>
      <c r="C2" s="102" t="s">
        <v>407</v>
      </c>
      <c r="D2" s="102" t="s">
        <v>408</v>
      </c>
      <c r="E2" s="102" t="s">
        <v>407</v>
      </c>
      <c r="F2" s="102" t="s">
        <v>409</v>
      </c>
      <c r="G2" s="102" t="s">
        <v>407</v>
      </c>
    </row>
    <row r="3" spans="1:7" x14ac:dyDescent="0.35">
      <c r="A3" s="172" t="s">
        <v>410</v>
      </c>
      <c r="B3" s="103" t="s">
        <v>411</v>
      </c>
      <c r="C3" s="174" t="s">
        <v>412</v>
      </c>
      <c r="D3" s="176" t="s">
        <v>413</v>
      </c>
      <c r="E3" s="174" t="s">
        <v>412</v>
      </c>
      <c r="F3" s="103" t="s">
        <v>414</v>
      </c>
      <c r="G3" s="174" t="s">
        <v>412</v>
      </c>
    </row>
    <row r="4" spans="1:7" ht="16" thickBot="1" x14ac:dyDescent="0.4">
      <c r="A4" s="173"/>
      <c r="B4" s="104" t="s">
        <v>415</v>
      </c>
      <c r="C4" s="175"/>
      <c r="D4" s="177"/>
      <c r="E4" s="175"/>
      <c r="F4" s="104" t="s">
        <v>416</v>
      </c>
      <c r="G4" s="175"/>
    </row>
    <row r="5" spans="1:7" x14ac:dyDescent="0.35">
      <c r="A5" s="172" t="s">
        <v>417</v>
      </c>
      <c r="B5" s="103" t="s">
        <v>418</v>
      </c>
      <c r="C5" s="174">
        <v>-2</v>
      </c>
      <c r="D5" s="176" t="s">
        <v>419</v>
      </c>
      <c r="E5" s="174">
        <v>-2</v>
      </c>
      <c r="F5" s="103" t="s">
        <v>420</v>
      </c>
      <c r="G5" s="174">
        <v>4</v>
      </c>
    </row>
    <row r="6" spans="1:7" ht="16" thickBot="1" x14ac:dyDescent="0.4">
      <c r="A6" s="173"/>
      <c r="B6" s="104" t="s">
        <v>421</v>
      </c>
      <c r="C6" s="175"/>
      <c r="D6" s="177"/>
      <c r="E6" s="175"/>
      <c r="F6" s="104" t="s">
        <v>422</v>
      </c>
      <c r="G6" s="175"/>
    </row>
    <row r="7" spans="1:7" x14ac:dyDescent="0.35">
      <c r="A7" s="172" t="s">
        <v>423</v>
      </c>
      <c r="B7" s="103" t="s">
        <v>411</v>
      </c>
      <c r="C7" s="174">
        <v>1</v>
      </c>
      <c r="D7" s="176" t="s">
        <v>424</v>
      </c>
      <c r="E7" s="174">
        <v>4</v>
      </c>
      <c r="F7" s="103" t="s">
        <v>425</v>
      </c>
      <c r="G7" s="174">
        <v>3</v>
      </c>
    </row>
    <row r="8" spans="1:7" ht="16" thickBot="1" x14ac:dyDescent="0.4">
      <c r="A8" s="173"/>
      <c r="B8" s="104" t="s">
        <v>426</v>
      </c>
      <c r="C8" s="175"/>
      <c r="D8" s="177"/>
      <c r="E8" s="175"/>
      <c r="F8" s="104" t="s">
        <v>427</v>
      </c>
      <c r="G8" s="175"/>
    </row>
    <row r="9" spans="1:7" x14ac:dyDescent="0.35">
      <c r="A9" s="172" t="s">
        <v>428</v>
      </c>
      <c r="B9" s="103" t="s">
        <v>429</v>
      </c>
      <c r="C9" s="174">
        <v>-1</v>
      </c>
      <c r="D9" s="176" t="s">
        <v>430</v>
      </c>
      <c r="E9" s="174">
        <v>2</v>
      </c>
      <c r="F9" s="103" t="s">
        <v>431</v>
      </c>
      <c r="G9" s="174">
        <v>-1</v>
      </c>
    </row>
    <row r="10" spans="1:7" ht="16" thickBot="1" x14ac:dyDescent="0.4">
      <c r="A10" s="173"/>
      <c r="B10" s="104" t="s">
        <v>421</v>
      </c>
      <c r="C10" s="175"/>
      <c r="D10" s="177"/>
      <c r="E10" s="175"/>
      <c r="F10" s="104" t="s">
        <v>432</v>
      </c>
      <c r="G10" s="175"/>
    </row>
    <row r="11" spans="1:7" x14ac:dyDescent="0.35">
      <c r="A11" s="172" t="s">
        <v>433</v>
      </c>
      <c r="B11" s="103" t="s">
        <v>434</v>
      </c>
      <c r="C11" s="174">
        <v>-1</v>
      </c>
      <c r="D11" s="176" t="s">
        <v>430</v>
      </c>
      <c r="E11" s="174">
        <v>0</v>
      </c>
      <c r="F11" s="103" t="s">
        <v>431</v>
      </c>
      <c r="G11" s="174">
        <v>-1</v>
      </c>
    </row>
    <row r="12" spans="1:7" ht="16" thickBot="1" x14ac:dyDescent="0.4">
      <c r="A12" s="173"/>
      <c r="B12" s="104" t="s">
        <v>435</v>
      </c>
      <c r="C12" s="175"/>
      <c r="D12" s="177"/>
      <c r="E12" s="175"/>
      <c r="F12" s="104" t="s">
        <v>422</v>
      </c>
      <c r="G12" s="175"/>
    </row>
    <row r="13" spans="1:7" x14ac:dyDescent="0.35">
      <c r="A13" s="172" t="s">
        <v>436</v>
      </c>
      <c r="B13" s="103" t="s">
        <v>434</v>
      </c>
      <c r="C13" s="174">
        <v>0</v>
      </c>
      <c r="D13" s="176" t="s">
        <v>437</v>
      </c>
      <c r="E13" s="174">
        <v>4</v>
      </c>
      <c r="F13" s="103" t="s">
        <v>438</v>
      </c>
      <c r="G13" s="174">
        <v>4</v>
      </c>
    </row>
    <row r="14" spans="1:7" ht="16" thickBot="1" x14ac:dyDescent="0.4">
      <c r="A14" s="173"/>
      <c r="B14" s="104" t="s">
        <v>435</v>
      </c>
      <c r="C14" s="175"/>
      <c r="D14" s="177"/>
      <c r="E14" s="175"/>
      <c r="F14" s="104" t="s">
        <v>439</v>
      </c>
      <c r="G14" s="175"/>
    </row>
    <row r="15" spans="1:7" x14ac:dyDescent="0.35">
      <c r="A15" s="172" t="s">
        <v>440</v>
      </c>
      <c r="B15" s="103" t="s">
        <v>434</v>
      </c>
      <c r="C15" s="174">
        <v>0</v>
      </c>
      <c r="D15" s="176" t="s">
        <v>441</v>
      </c>
      <c r="E15" s="174">
        <v>1</v>
      </c>
      <c r="F15" s="103" t="s">
        <v>438</v>
      </c>
      <c r="G15" s="174">
        <v>1</v>
      </c>
    </row>
    <row r="16" spans="1:7" ht="16" thickBot="1" x14ac:dyDescent="0.4">
      <c r="A16" s="173"/>
      <c r="B16" s="104" t="s">
        <v>442</v>
      </c>
      <c r="C16" s="175"/>
      <c r="D16" s="177"/>
      <c r="E16" s="175"/>
      <c r="F16" s="104" t="s">
        <v>443</v>
      </c>
      <c r="G16" s="175"/>
    </row>
  </sheetData>
  <mergeCells count="36">
    <mergeCell ref="A1:G1"/>
    <mergeCell ref="A3:A4"/>
    <mergeCell ref="C3:C4"/>
    <mergeCell ref="D3:D4"/>
    <mergeCell ref="E3:E4"/>
    <mergeCell ref="G3:G4"/>
    <mergeCell ref="A7:A8"/>
    <mergeCell ref="C7:C8"/>
    <mergeCell ref="D7:D8"/>
    <mergeCell ref="E7:E8"/>
    <mergeCell ref="G7:G8"/>
    <mergeCell ref="A5:A6"/>
    <mergeCell ref="C5:C6"/>
    <mergeCell ref="D5:D6"/>
    <mergeCell ref="E5:E6"/>
    <mergeCell ref="G5:G6"/>
    <mergeCell ref="A11:A12"/>
    <mergeCell ref="C11:C12"/>
    <mergeCell ref="D11:D12"/>
    <mergeCell ref="E11:E12"/>
    <mergeCell ref="G11:G12"/>
    <mergeCell ref="A9:A10"/>
    <mergeCell ref="C9:C10"/>
    <mergeCell ref="D9:D10"/>
    <mergeCell ref="E9:E10"/>
    <mergeCell ref="G9:G10"/>
    <mergeCell ref="A15:A16"/>
    <mergeCell ref="C15:C16"/>
    <mergeCell ref="D15:D16"/>
    <mergeCell ref="E15:E16"/>
    <mergeCell ref="G15:G16"/>
    <mergeCell ref="A13:A14"/>
    <mergeCell ref="C13:C14"/>
    <mergeCell ref="D13:D14"/>
    <mergeCell ref="E13:E14"/>
    <mergeCell ref="G13:G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Z70"/>
  <sheetViews>
    <sheetView zoomScale="90" zoomScaleNormal="90" workbookViewId="0">
      <selection activeCell="D16" sqref="D16"/>
    </sheetView>
  </sheetViews>
  <sheetFormatPr defaultColWidth="11" defaultRowHeight="15.5" x14ac:dyDescent="0.35"/>
  <cols>
    <col min="1" max="1" width="36.83203125" customWidth="1"/>
    <col min="2" max="2" width="8.08203125" customWidth="1"/>
    <col min="3" max="3" width="12.83203125" customWidth="1"/>
    <col min="4" max="4" width="13.08203125" customWidth="1"/>
    <col min="5" max="5" width="14.58203125" customWidth="1"/>
    <col min="6" max="6" width="14.08203125" customWidth="1"/>
    <col min="9" max="9" width="41.08203125" customWidth="1"/>
    <col min="10" max="10" width="27.08203125" style="8" customWidth="1"/>
    <col min="11" max="11" width="13.08203125" customWidth="1"/>
    <col min="12" max="12" width="15.33203125" customWidth="1"/>
    <col min="13" max="13" width="13.58203125" customWidth="1"/>
    <col min="14" max="14" width="12.83203125" customWidth="1"/>
    <col min="15" max="15" width="13" customWidth="1"/>
    <col min="16" max="16" width="13.33203125" customWidth="1"/>
    <col min="25" max="25" width="12.33203125" customWidth="1"/>
  </cols>
  <sheetData>
    <row r="1" spans="1:26" s="8" customFormat="1" x14ac:dyDescent="0.35">
      <c r="A1" s="8" t="s">
        <v>63</v>
      </c>
      <c r="B1" s="8" t="s">
        <v>70</v>
      </c>
      <c r="C1" s="8" t="s">
        <v>74</v>
      </c>
      <c r="D1" s="8" t="s">
        <v>75</v>
      </c>
      <c r="E1" s="8" t="s">
        <v>77</v>
      </c>
      <c r="F1" s="8" t="s">
        <v>78</v>
      </c>
      <c r="I1" s="8" t="s">
        <v>63</v>
      </c>
      <c r="J1" s="8" t="s">
        <v>70</v>
      </c>
      <c r="K1" s="8" t="s">
        <v>84</v>
      </c>
      <c r="L1" s="8" t="s">
        <v>85</v>
      </c>
      <c r="M1" s="8" t="s">
        <v>86</v>
      </c>
      <c r="N1" s="8" t="s">
        <v>87</v>
      </c>
      <c r="O1" s="8" t="s">
        <v>88</v>
      </c>
      <c r="P1" s="12" t="s">
        <v>161</v>
      </c>
      <c r="S1" s="8" t="s">
        <v>63</v>
      </c>
      <c r="T1" s="8" t="s">
        <v>70</v>
      </c>
      <c r="U1" s="8" t="s">
        <v>93</v>
      </c>
      <c r="V1" s="8" t="s">
        <v>74</v>
      </c>
      <c r="W1" s="8" t="s">
        <v>75</v>
      </c>
      <c r="X1" s="8" t="s">
        <v>77</v>
      </c>
      <c r="Y1" s="8" t="s">
        <v>88</v>
      </c>
      <c r="Z1" s="12" t="s">
        <v>95</v>
      </c>
    </row>
    <row r="2" spans="1:26" s="8" customFormat="1" x14ac:dyDescent="0.35">
      <c r="A2" s="8" t="s">
        <v>81</v>
      </c>
      <c r="B2" s="8" t="s">
        <v>71</v>
      </c>
      <c r="C2" s="9">
        <v>29224</v>
      </c>
      <c r="D2" s="9">
        <v>26843</v>
      </c>
      <c r="E2" s="9">
        <v>28581</v>
      </c>
      <c r="F2" s="9">
        <v>31333</v>
      </c>
      <c r="I2" s="8" t="s">
        <v>89</v>
      </c>
      <c r="J2" s="8" t="s">
        <v>82</v>
      </c>
      <c r="K2" s="9">
        <v>10084</v>
      </c>
      <c r="L2" s="9">
        <v>10659</v>
      </c>
      <c r="M2" s="9">
        <v>10218</v>
      </c>
      <c r="N2" s="9">
        <v>9835</v>
      </c>
      <c r="O2" s="9">
        <v>10686</v>
      </c>
      <c r="P2" s="10">
        <f>(O2-L2)/L2</f>
        <v>2.5330706445257528E-3</v>
      </c>
      <c r="S2" s="8" t="s">
        <v>81</v>
      </c>
      <c r="T2" s="8" t="s">
        <v>71</v>
      </c>
      <c r="U2" s="8">
        <v>0</v>
      </c>
      <c r="V2" s="9">
        <v>29224</v>
      </c>
      <c r="W2" s="9">
        <v>26843</v>
      </c>
      <c r="X2" s="9">
        <v>28581</v>
      </c>
      <c r="Y2" s="9">
        <v>31333</v>
      </c>
      <c r="Z2" s="12">
        <f>(Y2-V2)/V2</f>
        <v>7.2166712291267449E-2</v>
      </c>
    </row>
    <row r="3" spans="1:26" x14ac:dyDescent="0.35">
      <c r="A3" t="s">
        <v>96</v>
      </c>
      <c r="B3" t="s">
        <v>71</v>
      </c>
      <c r="C3">
        <v>559</v>
      </c>
      <c r="D3">
        <v>95</v>
      </c>
      <c r="E3">
        <v>84</v>
      </c>
      <c r="F3">
        <v>91</v>
      </c>
      <c r="I3" t="s">
        <v>96</v>
      </c>
      <c r="J3" s="8" t="s">
        <v>82</v>
      </c>
      <c r="K3">
        <v>113</v>
      </c>
      <c r="L3">
        <v>76</v>
      </c>
      <c r="M3">
        <v>503</v>
      </c>
      <c r="N3">
        <v>481</v>
      </c>
      <c r="O3">
        <v>493</v>
      </c>
      <c r="P3" s="10">
        <f t="shared" ref="P3:P50" si="0">(O3-L3)/L3</f>
        <v>5.4868421052631575</v>
      </c>
      <c r="T3" s="8" t="s">
        <v>82</v>
      </c>
      <c r="U3" s="9">
        <v>10084</v>
      </c>
      <c r="V3" s="9">
        <v>10659</v>
      </c>
      <c r="W3" s="9">
        <v>10218</v>
      </c>
      <c r="X3" s="9">
        <v>9835</v>
      </c>
      <c r="Y3" s="9">
        <v>10686</v>
      </c>
      <c r="Z3" s="12">
        <f>(Y3-U3)/U3</f>
        <v>5.9698532328441092E-2</v>
      </c>
    </row>
    <row r="4" spans="1:26" x14ac:dyDescent="0.35">
      <c r="A4" t="s">
        <v>90</v>
      </c>
      <c r="B4" t="s">
        <v>71</v>
      </c>
      <c r="C4" s="7">
        <v>1020</v>
      </c>
      <c r="D4">
        <v>899</v>
      </c>
      <c r="E4">
        <v>752</v>
      </c>
      <c r="F4">
        <v>772</v>
      </c>
      <c r="I4" t="s">
        <v>90</v>
      </c>
      <c r="J4" s="8" t="s">
        <v>82</v>
      </c>
      <c r="K4">
        <v>479</v>
      </c>
      <c r="L4">
        <v>576</v>
      </c>
      <c r="M4">
        <v>468</v>
      </c>
      <c r="N4">
        <v>395</v>
      </c>
      <c r="O4">
        <v>367</v>
      </c>
      <c r="P4" s="10">
        <f t="shared" si="0"/>
        <v>-0.36284722222222221</v>
      </c>
      <c r="Y4" s="7"/>
    </row>
    <row r="5" spans="1:26" x14ac:dyDescent="0.35">
      <c r="A5" t="s">
        <v>97</v>
      </c>
      <c r="B5" t="s">
        <v>71</v>
      </c>
      <c r="C5">
        <v>94</v>
      </c>
      <c r="D5">
        <v>95</v>
      </c>
      <c r="E5">
        <v>125</v>
      </c>
      <c r="F5">
        <v>206</v>
      </c>
      <c r="I5" t="s">
        <v>91</v>
      </c>
      <c r="J5" s="8" t="s">
        <v>82</v>
      </c>
      <c r="K5">
        <v>39</v>
      </c>
      <c r="L5">
        <v>74</v>
      </c>
      <c r="M5">
        <v>69</v>
      </c>
      <c r="N5">
        <v>116</v>
      </c>
      <c r="O5">
        <v>200</v>
      </c>
      <c r="P5" s="10">
        <f t="shared" si="0"/>
        <v>1.7027027027027026</v>
      </c>
    </row>
    <row r="6" spans="1:26" x14ac:dyDescent="0.35">
      <c r="A6" t="s">
        <v>98</v>
      </c>
      <c r="B6" t="s">
        <v>71</v>
      </c>
      <c r="C6">
        <v>181</v>
      </c>
      <c r="D6">
        <v>179</v>
      </c>
      <c r="E6">
        <v>138</v>
      </c>
      <c r="F6">
        <v>176</v>
      </c>
      <c r="I6" t="s">
        <v>99</v>
      </c>
      <c r="J6" s="8" t="s">
        <v>82</v>
      </c>
      <c r="K6">
        <v>340</v>
      </c>
      <c r="L6">
        <v>418</v>
      </c>
      <c r="M6">
        <v>351</v>
      </c>
      <c r="N6">
        <v>364</v>
      </c>
      <c r="O6">
        <v>437</v>
      </c>
      <c r="P6" s="10">
        <f t="shared" si="0"/>
        <v>4.5454545454545456E-2</v>
      </c>
    </row>
    <row r="7" spans="1:26" x14ac:dyDescent="0.35">
      <c r="A7" t="s">
        <v>91</v>
      </c>
      <c r="B7" t="s">
        <v>71</v>
      </c>
      <c r="C7">
        <v>522</v>
      </c>
      <c r="D7">
        <v>439</v>
      </c>
      <c r="E7">
        <v>603</v>
      </c>
      <c r="F7">
        <v>690</v>
      </c>
      <c r="I7" t="s">
        <v>92</v>
      </c>
      <c r="J7" s="8" t="s">
        <v>82</v>
      </c>
      <c r="K7" s="1" t="s">
        <v>4</v>
      </c>
      <c r="L7">
        <v>29</v>
      </c>
      <c r="M7">
        <v>43</v>
      </c>
      <c r="N7">
        <v>45</v>
      </c>
      <c r="O7">
        <v>72</v>
      </c>
      <c r="P7" s="10">
        <f t="shared" si="0"/>
        <v>1.4827586206896552</v>
      </c>
    </row>
    <row r="8" spans="1:26" x14ac:dyDescent="0.35">
      <c r="A8" t="s">
        <v>99</v>
      </c>
      <c r="B8" t="s">
        <v>71</v>
      </c>
      <c r="C8" s="7">
        <v>1029</v>
      </c>
      <c r="D8">
        <v>921</v>
      </c>
      <c r="E8">
        <v>902</v>
      </c>
      <c r="F8">
        <v>943</v>
      </c>
      <c r="I8" t="s">
        <v>100</v>
      </c>
      <c r="J8" s="8" t="s">
        <v>82</v>
      </c>
      <c r="K8">
        <v>68</v>
      </c>
      <c r="L8">
        <v>39</v>
      </c>
      <c r="M8">
        <v>61</v>
      </c>
      <c r="N8">
        <v>63</v>
      </c>
      <c r="O8">
        <v>74</v>
      </c>
      <c r="P8" s="10">
        <f t="shared" si="0"/>
        <v>0.89743589743589747</v>
      </c>
    </row>
    <row r="9" spans="1:26" x14ac:dyDescent="0.35">
      <c r="A9" t="s">
        <v>92</v>
      </c>
      <c r="B9" t="s">
        <v>71</v>
      </c>
      <c r="C9">
        <v>112</v>
      </c>
      <c r="D9">
        <v>187</v>
      </c>
      <c r="E9">
        <v>207</v>
      </c>
      <c r="F9">
        <v>226</v>
      </c>
      <c r="I9" t="s">
        <v>101</v>
      </c>
      <c r="J9" s="8" t="s">
        <v>82</v>
      </c>
      <c r="K9">
        <v>124</v>
      </c>
      <c r="L9">
        <v>131</v>
      </c>
      <c r="M9">
        <v>83</v>
      </c>
      <c r="N9">
        <v>79</v>
      </c>
      <c r="O9">
        <v>87</v>
      </c>
      <c r="P9" s="10">
        <f t="shared" si="0"/>
        <v>-0.33587786259541985</v>
      </c>
    </row>
    <row r="10" spans="1:26" x14ac:dyDescent="0.35">
      <c r="A10" t="s">
        <v>100</v>
      </c>
      <c r="B10" t="s">
        <v>71</v>
      </c>
      <c r="C10">
        <v>626</v>
      </c>
      <c r="D10">
        <v>593</v>
      </c>
      <c r="E10">
        <v>593</v>
      </c>
      <c r="F10">
        <v>735</v>
      </c>
      <c r="I10" t="s">
        <v>102</v>
      </c>
      <c r="J10" s="8" t="s">
        <v>82</v>
      </c>
      <c r="K10">
        <v>166</v>
      </c>
      <c r="L10">
        <v>195</v>
      </c>
      <c r="M10">
        <v>191</v>
      </c>
      <c r="N10">
        <v>206</v>
      </c>
      <c r="O10">
        <v>194</v>
      </c>
      <c r="P10" s="10">
        <f t="shared" si="0"/>
        <v>-5.1282051282051282E-3</v>
      </c>
    </row>
    <row r="11" spans="1:26" x14ac:dyDescent="0.35">
      <c r="A11" t="s">
        <v>101</v>
      </c>
      <c r="B11" t="s">
        <v>71</v>
      </c>
      <c r="C11">
        <v>482</v>
      </c>
      <c r="D11">
        <v>474</v>
      </c>
      <c r="E11">
        <v>447</v>
      </c>
      <c r="F11">
        <v>400</v>
      </c>
      <c r="I11" t="s">
        <v>103</v>
      </c>
      <c r="J11" s="8" t="s">
        <v>82</v>
      </c>
      <c r="K11">
        <v>149</v>
      </c>
      <c r="L11">
        <v>106</v>
      </c>
      <c r="M11">
        <v>122</v>
      </c>
      <c r="N11">
        <v>82</v>
      </c>
      <c r="O11">
        <v>94</v>
      </c>
      <c r="P11" s="10">
        <f t="shared" si="0"/>
        <v>-0.11320754716981132</v>
      </c>
    </row>
    <row r="12" spans="1:26" x14ac:dyDescent="0.35">
      <c r="A12" t="s">
        <v>102</v>
      </c>
      <c r="B12" t="s">
        <v>71</v>
      </c>
      <c r="C12">
        <v>406</v>
      </c>
      <c r="D12">
        <v>382</v>
      </c>
      <c r="E12">
        <v>318</v>
      </c>
      <c r="F12">
        <v>278</v>
      </c>
      <c r="I12" t="s">
        <v>72</v>
      </c>
      <c r="J12" s="8" t="s">
        <v>82</v>
      </c>
      <c r="K12">
        <v>271</v>
      </c>
      <c r="L12">
        <v>175</v>
      </c>
      <c r="M12">
        <v>187</v>
      </c>
      <c r="N12">
        <v>202</v>
      </c>
      <c r="O12">
        <v>215</v>
      </c>
      <c r="P12" s="10">
        <f t="shared" si="0"/>
        <v>0.22857142857142856</v>
      </c>
    </row>
    <row r="13" spans="1:26" x14ac:dyDescent="0.35">
      <c r="A13" t="s">
        <v>103</v>
      </c>
      <c r="B13" t="s">
        <v>71</v>
      </c>
      <c r="C13">
        <v>151</v>
      </c>
      <c r="D13">
        <v>139</v>
      </c>
      <c r="E13">
        <v>143</v>
      </c>
      <c r="F13">
        <v>123</v>
      </c>
      <c r="I13" t="s">
        <v>107</v>
      </c>
      <c r="J13" s="8" t="s">
        <v>82</v>
      </c>
      <c r="K13" s="1" t="s">
        <v>4</v>
      </c>
      <c r="L13">
        <v>401</v>
      </c>
      <c r="M13">
        <v>364</v>
      </c>
      <c r="N13">
        <v>300</v>
      </c>
      <c r="O13">
        <v>283</v>
      </c>
      <c r="P13" s="10">
        <f t="shared" si="0"/>
        <v>-0.29426433915211969</v>
      </c>
    </row>
    <row r="14" spans="1:26" x14ac:dyDescent="0.35">
      <c r="A14" t="s">
        <v>104</v>
      </c>
      <c r="B14" t="s">
        <v>71</v>
      </c>
      <c r="C14">
        <v>162</v>
      </c>
      <c r="D14">
        <v>165</v>
      </c>
      <c r="E14">
        <v>238</v>
      </c>
      <c r="F14">
        <v>250</v>
      </c>
      <c r="I14" t="s">
        <v>109</v>
      </c>
      <c r="J14" s="8" t="s">
        <v>82</v>
      </c>
      <c r="K14">
        <v>58</v>
      </c>
      <c r="L14">
        <v>24</v>
      </c>
      <c r="M14">
        <v>18</v>
      </c>
      <c r="N14">
        <v>61</v>
      </c>
      <c r="O14">
        <v>51</v>
      </c>
      <c r="P14" s="10">
        <f t="shared" si="0"/>
        <v>1.125</v>
      </c>
    </row>
    <row r="15" spans="1:26" x14ac:dyDescent="0.35">
      <c r="A15" t="s">
        <v>105</v>
      </c>
      <c r="B15" t="s">
        <v>71</v>
      </c>
      <c r="C15">
        <v>513</v>
      </c>
      <c r="D15">
        <v>373</v>
      </c>
      <c r="E15">
        <v>384</v>
      </c>
      <c r="F15">
        <v>411</v>
      </c>
      <c r="I15" t="s">
        <v>110</v>
      </c>
      <c r="J15" s="8" t="s">
        <v>82</v>
      </c>
      <c r="K15">
        <v>319</v>
      </c>
      <c r="L15">
        <v>448</v>
      </c>
      <c r="M15">
        <v>322</v>
      </c>
      <c r="N15">
        <v>256</v>
      </c>
      <c r="O15">
        <v>349</v>
      </c>
      <c r="P15" s="10">
        <f t="shared" si="0"/>
        <v>-0.22098214285714285</v>
      </c>
    </row>
    <row r="16" spans="1:26" x14ac:dyDescent="0.35">
      <c r="A16" t="s">
        <v>106</v>
      </c>
      <c r="B16" t="s">
        <v>71</v>
      </c>
      <c r="C16">
        <v>198</v>
      </c>
      <c r="D16">
        <v>170</v>
      </c>
      <c r="E16">
        <v>171</v>
      </c>
      <c r="F16">
        <v>190</v>
      </c>
      <c r="I16" t="s">
        <v>111</v>
      </c>
      <c r="J16" s="8" t="s">
        <v>82</v>
      </c>
      <c r="K16">
        <v>101</v>
      </c>
      <c r="L16">
        <v>107</v>
      </c>
      <c r="M16">
        <v>80</v>
      </c>
      <c r="N16">
        <v>82</v>
      </c>
      <c r="O16">
        <v>141</v>
      </c>
      <c r="P16" s="10">
        <f t="shared" si="0"/>
        <v>0.31775700934579437</v>
      </c>
    </row>
    <row r="17" spans="1:16" x14ac:dyDescent="0.35">
      <c r="A17" t="s">
        <v>107</v>
      </c>
      <c r="B17" t="s">
        <v>71</v>
      </c>
      <c r="C17">
        <v>512</v>
      </c>
      <c r="D17">
        <v>344</v>
      </c>
      <c r="E17">
        <v>326</v>
      </c>
      <c r="F17">
        <v>388</v>
      </c>
      <c r="I17" t="s">
        <v>112</v>
      </c>
      <c r="J17" s="8" t="s">
        <v>82</v>
      </c>
      <c r="K17">
        <v>207</v>
      </c>
      <c r="L17">
        <v>217</v>
      </c>
      <c r="M17">
        <v>245</v>
      </c>
      <c r="N17">
        <v>229</v>
      </c>
      <c r="O17">
        <v>212</v>
      </c>
      <c r="P17" s="10">
        <f t="shared" si="0"/>
        <v>-2.3041474654377881E-2</v>
      </c>
    </row>
    <row r="18" spans="1:16" x14ac:dyDescent="0.35">
      <c r="A18" t="s">
        <v>108</v>
      </c>
      <c r="B18" t="s">
        <v>71</v>
      </c>
      <c r="C18">
        <v>165</v>
      </c>
      <c r="D18">
        <v>124</v>
      </c>
      <c r="E18">
        <v>115</v>
      </c>
      <c r="F18">
        <v>87</v>
      </c>
      <c r="I18" t="s">
        <v>160</v>
      </c>
      <c r="J18" s="8" t="s">
        <v>82</v>
      </c>
      <c r="K18" s="1" t="s">
        <v>4</v>
      </c>
      <c r="L18">
        <v>307</v>
      </c>
      <c r="M18">
        <v>262</v>
      </c>
      <c r="N18">
        <v>440</v>
      </c>
      <c r="O18">
        <v>583</v>
      </c>
      <c r="P18" s="10">
        <f t="shared" si="0"/>
        <v>0.89902280130293155</v>
      </c>
    </row>
    <row r="19" spans="1:16" x14ac:dyDescent="0.35">
      <c r="A19" t="s">
        <v>109</v>
      </c>
      <c r="B19" t="s">
        <v>71</v>
      </c>
      <c r="C19">
        <v>392</v>
      </c>
      <c r="D19">
        <v>399</v>
      </c>
      <c r="E19">
        <v>488</v>
      </c>
      <c r="F19">
        <v>573</v>
      </c>
      <c r="I19" t="s">
        <v>114</v>
      </c>
      <c r="J19" s="8" t="s">
        <v>82</v>
      </c>
      <c r="K19">
        <v>202</v>
      </c>
      <c r="L19">
        <v>128</v>
      </c>
      <c r="M19">
        <v>132</v>
      </c>
      <c r="N19">
        <v>176</v>
      </c>
      <c r="O19">
        <v>134</v>
      </c>
      <c r="P19" s="10">
        <f t="shared" si="0"/>
        <v>4.6875E-2</v>
      </c>
    </row>
    <row r="20" spans="1:16" x14ac:dyDescent="0.35">
      <c r="A20" t="s">
        <v>110</v>
      </c>
      <c r="B20" t="s">
        <v>71</v>
      </c>
      <c r="C20">
        <v>475</v>
      </c>
      <c r="D20">
        <v>561</v>
      </c>
      <c r="E20">
        <v>649</v>
      </c>
      <c r="F20">
        <v>634</v>
      </c>
      <c r="I20" t="s">
        <v>116</v>
      </c>
      <c r="J20" s="8" t="s">
        <v>82</v>
      </c>
      <c r="K20">
        <v>185</v>
      </c>
      <c r="L20">
        <v>148</v>
      </c>
      <c r="M20">
        <v>76</v>
      </c>
      <c r="N20">
        <v>81</v>
      </c>
      <c r="O20">
        <v>76</v>
      </c>
      <c r="P20" s="10">
        <f t="shared" si="0"/>
        <v>-0.48648648648648651</v>
      </c>
    </row>
    <row r="21" spans="1:16" x14ac:dyDescent="0.35">
      <c r="A21" t="s">
        <v>111</v>
      </c>
      <c r="B21" t="s">
        <v>71</v>
      </c>
      <c r="C21">
        <v>336</v>
      </c>
      <c r="D21">
        <v>299</v>
      </c>
      <c r="E21">
        <v>269</v>
      </c>
      <c r="F21">
        <v>273</v>
      </c>
      <c r="I21" t="s">
        <v>155</v>
      </c>
      <c r="J21" s="8" t="s">
        <v>82</v>
      </c>
      <c r="K21">
        <v>141</v>
      </c>
      <c r="L21">
        <v>252</v>
      </c>
      <c r="M21">
        <v>167</v>
      </c>
      <c r="N21" s="1" t="s">
        <v>4</v>
      </c>
      <c r="O21">
        <v>210</v>
      </c>
      <c r="P21" s="10">
        <f t="shared" ref="P21" si="1">(O21-K21)/K21</f>
        <v>0.48936170212765956</v>
      </c>
    </row>
    <row r="22" spans="1:16" x14ac:dyDescent="0.35">
      <c r="A22" t="s">
        <v>112</v>
      </c>
      <c r="B22" t="s">
        <v>71</v>
      </c>
      <c r="C22">
        <v>735</v>
      </c>
      <c r="D22">
        <v>580</v>
      </c>
      <c r="E22">
        <v>546</v>
      </c>
      <c r="F22">
        <v>544</v>
      </c>
      <c r="I22" t="s">
        <v>117</v>
      </c>
      <c r="J22" s="8" t="s">
        <v>82</v>
      </c>
      <c r="K22">
        <v>646</v>
      </c>
      <c r="L22">
        <v>420</v>
      </c>
      <c r="M22">
        <v>327</v>
      </c>
      <c r="N22">
        <v>204</v>
      </c>
      <c r="O22">
        <v>237</v>
      </c>
      <c r="P22" s="10">
        <f t="shared" si="0"/>
        <v>-0.43571428571428572</v>
      </c>
    </row>
    <row r="23" spans="1:16" x14ac:dyDescent="0.35">
      <c r="A23" t="s">
        <v>113</v>
      </c>
      <c r="B23" t="s">
        <v>71</v>
      </c>
      <c r="C23">
        <v>169</v>
      </c>
      <c r="D23">
        <v>173</v>
      </c>
      <c r="E23">
        <v>123</v>
      </c>
      <c r="F23">
        <v>123</v>
      </c>
      <c r="I23" t="s">
        <v>118</v>
      </c>
      <c r="J23" s="8" t="s">
        <v>82</v>
      </c>
      <c r="K23">
        <v>209</v>
      </c>
      <c r="L23">
        <v>214</v>
      </c>
      <c r="M23">
        <v>232</v>
      </c>
      <c r="N23">
        <v>229</v>
      </c>
      <c r="O23">
        <v>213</v>
      </c>
      <c r="P23" s="10">
        <f t="shared" si="0"/>
        <v>-4.6728971962616819E-3</v>
      </c>
    </row>
    <row r="24" spans="1:16" x14ac:dyDescent="0.35">
      <c r="A24" t="s">
        <v>114</v>
      </c>
      <c r="B24" t="s">
        <v>71</v>
      </c>
      <c r="C24">
        <v>269</v>
      </c>
      <c r="D24">
        <v>220</v>
      </c>
      <c r="E24">
        <v>280</v>
      </c>
      <c r="F24">
        <v>292</v>
      </c>
      <c r="I24" t="s">
        <v>119</v>
      </c>
      <c r="J24" s="8" t="s">
        <v>82</v>
      </c>
      <c r="K24">
        <v>295</v>
      </c>
      <c r="L24">
        <v>316</v>
      </c>
      <c r="M24">
        <v>403</v>
      </c>
      <c r="N24">
        <v>435</v>
      </c>
      <c r="O24">
        <v>398</v>
      </c>
      <c r="P24" s="10">
        <f t="shared" si="0"/>
        <v>0.25949367088607594</v>
      </c>
    </row>
    <row r="25" spans="1:16" x14ac:dyDescent="0.35">
      <c r="A25" t="s">
        <v>115</v>
      </c>
      <c r="B25" t="s">
        <v>71</v>
      </c>
      <c r="C25">
        <v>155</v>
      </c>
      <c r="D25">
        <v>124</v>
      </c>
      <c r="E25">
        <v>146</v>
      </c>
      <c r="F25">
        <v>122</v>
      </c>
      <c r="I25" t="s">
        <v>120</v>
      </c>
      <c r="J25" s="8" t="s">
        <v>82</v>
      </c>
      <c r="K25">
        <v>168</v>
      </c>
      <c r="L25">
        <v>188</v>
      </c>
      <c r="M25">
        <v>181</v>
      </c>
      <c r="N25">
        <v>217</v>
      </c>
      <c r="O25">
        <v>157</v>
      </c>
      <c r="P25" s="10">
        <f t="shared" si="0"/>
        <v>-0.16489361702127658</v>
      </c>
    </row>
    <row r="26" spans="1:16" x14ac:dyDescent="0.35">
      <c r="A26" t="s">
        <v>116</v>
      </c>
      <c r="B26" t="s">
        <v>71</v>
      </c>
      <c r="C26">
        <v>484</v>
      </c>
      <c r="D26">
        <v>373</v>
      </c>
      <c r="E26">
        <v>224</v>
      </c>
      <c r="F26">
        <v>341</v>
      </c>
      <c r="I26" t="s">
        <v>122</v>
      </c>
      <c r="J26" s="8" t="s">
        <v>82</v>
      </c>
      <c r="K26">
        <v>509</v>
      </c>
      <c r="L26">
        <v>668</v>
      </c>
      <c r="M26">
        <v>353</v>
      </c>
      <c r="N26">
        <v>316</v>
      </c>
      <c r="O26">
        <v>408</v>
      </c>
      <c r="P26" s="10">
        <f t="shared" si="0"/>
        <v>-0.38922155688622756</v>
      </c>
    </row>
    <row r="27" spans="1:16" x14ac:dyDescent="0.35">
      <c r="A27" t="s">
        <v>117</v>
      </c>
      <c r="B27" t="s">
        <v>71</v>
      </c>
      <c r="C27" s="7">
        <v>1189</v>
      </c>
      <c r="D27" s="7">
        <v>1074</v>
      </c>
      <c r="E27">
        <v>747</v>
      </c>
      <c r="F27">
        <v>796</v>
      </c>
      <c r="I27" t="s">
        <v>159</v>
      </c>
      <c r="J27" s="8" t="s">
        <v>82</v>
      </c>
      <c r="K27">
        <v>140</v>
      </c>
      <c r="L27">
        <v>160</v>
      </c>
      <c r="M27">
        <v>120</v>
      </c>
      <c r="N27">
        <v>120</v>
      </c>
      <c r="O27">
        <v>118</v>
      </c>
      <c r="P27" s="10">
        <f t="shared" si="0"/>
        <v>-0.26250000000000001</v>
      </c>
    </row>
    <row r="28" spans="1:16" x14ac:dyDescent="0.35">
      <c r="A28" t="s">
        <v>118</v>
      </c>
      <c r="B28" t="s">
        <v>71</v>
      </c>
      <c r="C28" s="7">
        <v>1945</v>
      </c>
      <c r="D28" s="7">
        <v>1962</v>
      </c>
      <c r="E28" s="7">
        <v>2031</v>
      </c>
      <c r="F28" s="7">
        <v>2134</v>
      </c>
      <c r="I28" t="s">
        <v>124</v>
      </c>
      <c r="J28" s="8" t="s">
        <v>82</v>
      </c>
      <c r="K28">
        <v>311</v>
      </c>
      <c r="L28">
        <v>317</v>
      </c>
      <c r="M28">
        <v>220</v>
      </c>
      <c r="N28">
        <v>275</v>
      </c>
      <c r="O28">
        <v>210</v>
      </c>
      <c r="P28" s="10">
        <f t="shared" si="0"/>
        <v>-0.33753943217665616</v>
      </c>
    </row>
    <row r="29" spans="1:16" x14ac:dyDescent="0.35">
      <c r="A29" t="s">
        <v>119</v>
      </c>
      <c r="B29" t="s">
        <v>71</v>
      </c>
      <c r="C29" s="7">
        <v>1892</v>
      </c>
      <c r="D29" s="7">
        <v>2048</v>
      </c>
      <c r="E29" s="7">
        <v>1868</v>
      </c>
      <c r="F29" s="7">
        <v>1925</v>
      </c>
      <c r="I29" t="s">
        <v>125</v>
      </c>
      <c r="J29" s="8" t="s">
        <v>82</v>
      </c>
      <c r="K29">
        <v>178</v>
      </c>
      <c r="L29">
        <v>214</v>
      </c>
      <c r="M29">
        <v>192</v>
      </c>
      <c r="N29" s="1" t="s">
        <v>4</v>
      </c>
      <c r="O29" s="1" t="s">
        <v>4</v>
      </c>
      <c r="P29" s="10">
        <f>(M29-K29)/K29</f>
        <v>7.8651685393258425E-2</v>
      </c>
    </row>
    <row r="30" spans="1:16" x14ac:dyDescent="0.35">
      <c r="A30" t="s">
        <v>120</v>
      </c>
      <c r="B30" t="s">
        <v>71</v>
      </c>
      <c r="C30">
        <v>639</v>
      </c>
      <c r="D30">
        <v>655</v>
      </c>
      <c r="E30">
        <v>754</v>
      </c>
      <c r="F30">
        <v>830</v>
      </c>
      <c r="I30" t="s">
        <v>126</v>
      </c>
      <c r="J30" s="8" t="s">
        <v>82</v>
      </c>
      <c r="K30">
        <v>310</v>
      </c>
      <c r="L30">
        <v>229</v>
      </c>
      <c r="M30">
        <v>235</v>
      </c>
      <c r="N30">
        <v>231</v>
      </c>
      <c r="O30">
        <v>233</v>
      </c>
      <c r="P30" s="10">
        <f t="shared" si="0"/>
        <v>1.7467248908296942E-2</v>
      </c>
    </row>
    <row r="31" spans="1:16" x14ac:dyDescent="0.35">
      <c r="A31" t="s">
        <v>121</v>
      </c>
      <c r="B31" t="s">
        <v>71</v>
      </c>
      <c r="C31">
        <v>154</v>
      </c>
      <c r="D31">
        <v>113</v>
      </c>
      <c r="E31">
        <v>73</v>
      </c>
      <c r="F31">
        <v>114</v>
      </c>
      <c r="I31" t="s">
        <v>128</v>
      </c>
      <c r="J31" s="8" t="s">
        <v>82</v>
      </c>
      <c r="K31">
        <v>85</v>
      </c>
      <c r="L31">
        <v>121</v>
      </c>
      <c r="M31">
        <v>114</v>
      </c>
      <c r="N31">
        <v>164</v>
      </c>
      <c r="O31">
        <v>173</v>
      </c>
      <c r="P31" s="10">
        <f t="shared" si="0"/>
        <v>0.42975206611570249</v>
      </c>
    </row>
    <row r="32" spans="1:16" x14ac:dyDescent="0.35">
      <c r="A32" t="s">
        <v>122</v>
      </c>
      <c r="B32" t="s">
        <v>71</v>
      </c>
      <c r="C32" s="7">
        <v>1195</v>
      </c>
      <c r="D32">
        <v>722</v>
      </c>
      <c r="E32">
        <v>737</v>
      </c>
      <c r="F32">
        <v>927</v>
      </c>
      <c r="I32" t="s">
        <v>131</v>
      </c>
      <c r="J32" s="8" t="s">
        <v>82</v>
      </c>
      <c r="K32">
        <v>323</v>
      </c>
      <c r="L32">
        <v>338</v>
      </c>
      <c r="M32">
        <v>370</v>
      </c>
      <c r="N32">
        <v>350</v>
      </c>
      <c r="O32">
        <v>353</v>
      </c>
      <c r="P32" s="10">
        <f t="shared" si="0"/>
        <v>4.4378698224852069E-2</v>
      </c>
    </row>
    <row r="33" spans="1:16" x14ac:dyDescent="0.35">
      <c r="A33" t="s">
        <v>123</v>
      </c>
      <c r="B33" t="s">
        <v>71</v>
      </c>
      <c r="C33">
        <v>404</v>
      </c>
      <c r="D33">
        <v>426</v>
      </c>
      <c r="E33">
        <v>367</v>
      </c>
      <c r="F33">
        <v>443</v>
      </c>
      <c r="I33" t="s">
        <v>83</v>
      </c>
      <c r="J33" s="8" t="s">
        <v>82</v>
      </c>
      <c r="K33" s="1" t="s">
        <v>4</v>
      </c>
      <c r="L33">
        <v>248</v>
      </c>
      <c r="M33">
        <v>172</v>
      </c>
      <c r="N33">
        <v>155</v>
      </c>
      <c r="O33">
        <v>128</v>
      </c>
      <c r="P33" s="10">
        <f t="shared" si="0"/>
        <v>-0.4838709677419355</v>
      </c>
    </row>
    <row r="34" spans="1:16" x14ac:dyDescent="0.35">
      <c r="A34" t="s">
        <v>124</v>
      </c>
      <c r="B34" t="s">
        <v>71</v>
      </c>
      <c r="C34" s="7">
        <v>1122</v>
      </c>
      <c r="D34" s="7">
        <v>1068</v>
      </c>
      <c r="E34">
        <v>832</v>
      </c>
      <c r="F34">
        <v>733</v>
      </c>
      <c r="I34" t="s">
        <v>132</v>
      </c>
      <c r="J34" s="8" t="s">
        <v>82</v>
      </c>
      <c r="K34">
        <v>343</v>
      </c>
      <c r="L34">
        <v>355</v>
      </c>
      <c r="M34">
        <v>241</v>
      </c>
      <c r="N34">
        <v>263</v>
      </c>
      <c r="O34">
        <v>289</v>
      </c>
      <c r="P34" s="10">
        <f t="shared" si="0"/>
        <v>-0.18591549295774648</v>
      </c>
    </row>
    <row r="35" spans="1:16" x14ac:dyDescent="0.35">
      <c r="A35" t="s">
        <v>125</v>
      </c>
      <c r="B35" t="s">
        <v>71</v>
      </c>
      <c r="C35">
        <v>205</v>
      </c>
      <c r="D35">
        <v>205</v>
      </c>
      <c r="E35">
        <v>388</v>
      </c>
      <c r="F35">
        <v>402</v>
      </c>
      <c r="I35" t="s">
        <v>133</v>
      </c>
      <c r="J35" s="8" t="s">
        <v>82</v>
      </c>
      <c r="K35">
        <v>402</v>
      </c>
      <c r="L35">
        <v>395</v>
      </c>
      <c r="M35">
        <v>486</v>
      </c>
      <c r="N35">
        <v>432</v>
      </c>
      <c r="O35">
        <v>314</v>
      </c>
      <c r="P35" s="10">
        <f t="shared" si="0"/>
        <v>-0.20506329113924052</v>
      </c>
    </row>
    <row r="36" spans="1:16" x14ac:dyDescent="0.35">
      <c r="A36" t="s">
        <v>126</v>
      </c>
      <c r="B36" t="s">
        <v>71</v>
      </c>
      <c r="C36">
        <v>274</v>
      </c>
      <c r="D36">
        <v>225</v>
      </c>
      <c r="E36">
        <v>295</v>
      </c>
      <c r="F36">
        <v>297</v>
      </c>
      <c r="I36" t="s">
        <v>134</v>
      </c>
      <c r="J36" s="8" t="s">
        <v>82</v>
      </c>
      <c r="K36">
        <v>373</v>
      </c>
      <c r="L36">
        <v>247</v>
      </c>
      <c r="M36">
        <v>178</v>
      </c>
      <c r="N36">
        <v>163</v>
      </c>
      <c r="O36">
        <v>380</v>
      </c>
      <c r="P36" s="10">
        <f t="shared" si="0"/>
        <v>0.53846153846153844</v>
      </c>
    </row>
    <row r="37" spans="1:16" x14ac:dyDescent="0.35">
      <c r="A37" t="s">
        <v>127</v>
      </c>
      <c r="B37" t="s">
        <v>71</v>
      </c>
      <c r="C37">
        <v>496</v>
      </c>
      <c r="D37">
        <v>376</v>
      </c>
      <c r="E37">
        <v>618</v>
      </c>
      <c r="F37">
        <v>887</v>
      </c>
      <c r="I37" t="s">
        <v>73</v>
      </c>
      <c r="J37" s="8" t="s">
        <v>82</v>
      </c>
      <c r="K37">
        <v>80</v>
      </c>
      <c r="L37">
        <v>97</v>
      </c>
      <c r="M37">
        <v>102</v>
      </c>
      <c r="N37">
        <v>124</v>
      </c>
      <c r="O37">
        <v>142</v>
      </c>
      <c r="P37" s="10">
        <f t="shared" si="0"/>
        <v>0.46391752577319589</v>
      </c>
    </row>
    <row r="38" spans="1:16" x14ac:dyDescent="0.35">
      <c r="A38" t="s">
        <v>128</v>
      </c>
      <c r="B38" t="s">
        <v>71</v>
      </c>
      <c r="C38">
        <v>295</v>
      </c>
      <c r="D38">
        <v>241</v>
      </c>
      <c r="E38">
        <v>332</v>
      </c>
      <c r="F38">
        <v>375</v>
      </c>
      <c r="I38" t="s">
        <v>137</v>
      </c>
      <c r="J38" s="8" t="s">
        <v>82</v>
      </c>
      <c r="K38" s="1" t="s">
        <v>4</v>
      </c>
      <c r="L38" s="1" t="s">
        <v>4</v>
      </c>
      <c r="M38" s="1" t="s">
        <v>4</v>
      </c>
      <c r="N38">
        <v>54</v>
      </c>
      <c r="O38">
        <v>69</v>
      </c>
      <c r="P38" s="10">
        <f>(O38-N38)/N38</f>
        <v>0.27777777777777779</v>
      </c>
    </row>
    <row r="39" spans="1:16" x14ac:dyDescent="0.35">
      <c r="A39" t="s">
        <v>129</v>
      </c>
      <c r="B39" t="s">
        <v>71</v>
      </c>
      <c r="C39">
        <v>578</v>
      </c>
      <c r="D39">
        <v>426</v>
      </c>
      <c r="E39">
        <v>446</v>
      </c>
      <c r="F39">
        <v>502</v>
      </c>
      <c r="I39" t="s">
        <v>138</v>
      </c>
      <c r="J39" s="8" t="s">
        <v>82</v>
      </c>
      <c r="K39">
        <v>340</v>
      </c>
      <c r="L39">
        <v>215</v>
      </c>
      <c r="M39">
        <v>193</v>
      </c>
      <c r="N39">
        <v>186</v>
      </c>
      <c r="O39">
        <v>171</v>
      </c>
      <c r="P39" s="10">
        <f t="shared" si="0"/>
        <v>-0.20465116279069767</v>
      </c>
    </row>
    <row r="40" spans="1:16" x14ac:dyDescent="0.35">
      <c r="A40" t="s">
        <v>130</v>
      </c>
      <c r="B40" t="s">
        <v>71</v>
      </c>
      <c r="C40">
        <v>402</v>
      </c>
      <c r="D40">
        <v>495</v>
      </c>
      <c r="E40">
        <v>454</v>
      </c>
      <c r="F40">
        <v>557</v>
      </c>
      <c r="I40" t="s">
        <v>140</v>
      </c>
      <c r="J40" s="8" t="s">
        <v>82</v>
      </c>
      <c r="K40">
        <v>45</v>
      </c>
      <c r="L40">
        <v>15</v>
      </c>
      <c r="M40">
        <v>11</v>
      </c>
      <c r="N40">
        <v>14</v>
      </c>
      <c r="O40" s="1" t="s">
        <v>4</v>
      </c>
      <c r="P40" s="10">
        <f>(N40-K40)/K40</f>
        <v>-0.68888888888888888</v>
      </c>
    </row>
    <row r="41" spans="1:16" x14ac:dyDescent="0.35">
      <c r="A41" t="s">
        <v>131</v>
      </c>
      <c r="B41" t="s">
        <v>71</v>
      </c>
      <c r="C41">
        <v>632</v>
      </c>
      <c r="D41">
        <v>587</v>
      </c>
      <c r="E41">
        <v>757</v>
      </c>
      <c r="F41">
        <v>720</v>
      </c>
      <c r="I41" t="s">
        <v>141</v>
      </c>
      <c r="J41" s="8" t="s">
        <v>82</v>
      </c>
      <c r="K41">
        <v>281</v>
      </c>
      <c r="L41">
        <v>314</v>
      </c>
      <c r="M41">
        <v>225</v>
      </c>
      <c r="N41">
        <v>242</v>
      </c>
      <c r="O41">
        <v>179</v>
      </c>
      <c r="P41" s="10">
        <f t="shared" si="0"/>
        <v>-0.42993630573248409</v>
      </c>
    </row>
    <row r="42" spans="1:16" x14ac:dyDescent="0.35">
      <c r="A42" t="s">
        <v>132</v>
      </c>
      <c r="B42" t="s">
        <v>71</v>
      </c>
      <c r="C42" s="7">
        <v>1204</v>
      </c>
      <c r="D42">
        <v>865</v>
      </c>
      <c r="E42" s="7">
        <v>1048</v>
      </c>
      <c r="F42" s="7">
        <v>1140</v>
      </c>
      <c r="I42" t="s">
        <v>143</v>
      </c>
      <c r="J42" s="8" t="s">
        <v>82</v>
      </c>
      <c r="K42">
        <v>280</v>
      </c>
      <c r="L42">
        <v>140</v>
      </c>
      <c r="M42">
        <v>507</v>
      </c>
      <c r="N42">
        <v>430</v>
      </c>
      <c r="O42">
        <v>586</v>
      </c>
      <c r="P42" s="10">
        <f t="shared" si="0"/>
        <v>3.1857142857142855</v>
      </c>
    </row>
    <row r="43" spans="1:16" x14ac:dyDescent="0.35">
      <c r="A43" t="s">
        <v>133</v>
      </c>
      <c r="B43" t="s">
        <v>71</v>
      </c>
      <c r="C43">
        <v>588</v>
      </c>
      <c r="D43">
        <v>389</v>
      </c>
      <c r="E43">
        <v>539</v>
      </c>
      <c r="F43">
        <v>440</v>
      </c>
      <c r="I43" t="s">
        <v>144</v>
      </c>
      <c r="J43" s="8" t="s">
        <v>82</v>
      </c>
      <c r="K43">
        <v>86</v>
      </c>
      <c r="L43">
        <v>88</v>
      </c>
      <c r="M43">
        <v>123</v>
      </c>
      <c r="N43">
        <v>124</v>
      </c>
      <c r="O43">
        <v>122</v>
      </c>
      <c r="P43" s="10">
        <f t="shared" si="0"/>
        <v>0.38636363636363635</v>
      </c>
    </row>
    <row r="44" spans="1:16" x14ac:dyDescent="0.35">
      <c r="A44" t="s">
        <v>134</v>
      </c>
      <c r="B44" t="s">
        <v>71</v>
      </c>
      <c r="C44">
        <v>447</v>
      </c>
      <c r="D44">
        <v>445</v>
      </c>
      <c r="E44">
        <v>475</v>
      </c>
      <c r="F44">
        <v>538</v>
      </c>
      <c r="I44" t="s">
        <v>156</v>
      </c>
      <c r="J44" s="8" t="s">
        <v>82</v>
      </c>
      <c r="K44">
        <v>138</v>
      </c>
      <c r="L44">
        <v>258</v>
      </c>
      <c r="M44">
        <v>218</v>
      </c>
      <c r="N44">
        <v>122</v>
      </c>
      <c r="O44">
        <v>150</v>
      </c>
      <c r="P44" s="10">
        <f t="shared" si="0"/>
        <v>-0.41860465116279072</v>
      </c>
    </row>
    <row r="45" spans="1:16" x14ac:dyDescent="0.35">
      <c r="A45" t="s">
        <v>135</v>
      </c>
      <c r="B45" t="s">
        <v>71</v>
      </c>
      <c r="C45">
        <v>53</v>
      </c>
      <c r="D45">
        <v>33</v>
      </c>
      <c r="E45">
        <v>37</v>
      </c>
      <c r="F45">
        <v>57</v>
      </c>
      <c r="I45" t="s">
        <v>146</v>
      </c>
      <c r="J45" s="8" t="s">
        <v>82</v>
      </c>
      <c r="K45">
        <v>119</v>
      </c>
      <c r="L45">
        <v>130</v>
      </c>
      <c r="M45">
        <v>94</v>
      </c>
      <c r="N45">
        <v>101</v>
      </c>
      <c r="O45">
        <v>102</v>
      </c>
      <c r="P45" s="10">
        <f t="shared" si="0"/>
        <v>-0.2153846153846154</v>
      </c>
    </row>
    <row r="46" spans="1:16" x14ac:dyDescent="0.35">
      <c r="A46" t="s">
        <v>73</v>
      </c>
      <c r="B46" t="s">
        <v>71</v>
      </c>
      <c r="C46">
        <v>506</v>
      </c>
      <c r="D46">
        <v>537</v>
      </c>
      <c r="E46">
        <v>637</v>
      </c>
      <c r="F46">
        <v>714</v>
      </c>
      <c r="I46" t="s">
        <v>147</v>
      </c>
      <c r="J46" s="8" t="s">
        <v>82</v>
      </c>
      <c r="K46">
        <v>75</v>
      </c>
      <c r="L46" s="1" t="s">
        <v>4</v>
      </c>
      <c r="M46" s="1" t="s">
        <v>4</v>
      </c>
      <c r="N46" s="1" t="s">
        <v>4</v>
      </c>
      <c r="O46" s="1" t="s">
        <v>4</v>
      </c>
      <c r="P46" s="11" t="s">
        <v>4</v>
      </c>
    </row>
    <row r="47" spans="1:16" x14ac:dyDescent="0.35">
      <c r="A47" t="s">
        <v>136</v>
      </c>
      <c r="B47" t="s">
        <v>71</v>
      </c>
      <c r="C47">
        <v>29</v>
      </c>
      <c r="D47">
        <v>30</v>
      </c>
      <c r="E47">
        <v>42</v>
      </c>
      <c r="F47">
        <v>17</v>
      </c>
      <c r="I47" t="s">
        <v>157</v>
      </c>
      <c r="J47" s="8" t="s">
        <v>82</v>
      </c>
      <c r="K47">
        <v>705</v>
      </c>
      <c r="L47">
        <v>606</v>
      </c>
      <c r="M47">
        <v>616</v>
      </c>
      <c r="N47">
        <v>624</v>
      </c>
      <c r="O47">
        <v>649</v>
      </c>
      <c r="P47" s="10">
        <f t="shared" si="0"/>
        <v>7.0957095709570955E-2</v>
      </c>
    </row>
    <row r="48" spans="1:16" x14ac:dyDescent="0.35">
      <c r="A48" t="s">
        <v>137</v>
      </c>
      <c r="B48" t="s">
        <v>71</v>
      </c>
      <c r="C48">
        <v>102</v>
      </c>
      <c r="D48">
        <v>120</v>
      </c>
      <c r="E48">
        <v>82</v>
      </c>
      <c r="F48">
        <v>87</v>
      </c>
      <c r="I48" t="s">
        <v>150</v>
      </c>
      <c r="J48" s="8" t="s">
        <v>82</v>
      </c>
      <c r="K48">
        <v>503</v>
      </c>
      <c r="L48">
        <v>308</v>
      </c>
      <c r="M48">
        <v>373</v>
      </c>
      <c r="N48">
        <v>380</v>
      </c>
      <c r="O48">
        <v>319</v>
      </c>
      <c r="P48" s="10">
        <f t="shared" si="0"/>
        <v>3.5714285714285712E-2</v>
      </c>
    </row>
    <row r="49" spans="1:16" x14ac:dyDescent="0.35">
      <c r="A49" t="s">
        <v>138</v>
      </c>
      <c r="B49" t="s">
        <v>71</v>
      </c>
      <c r="C49">
        <v>405</v>
      </c>
      <c r="D49">
        <v>411</v>
      </c>
      <c r="E49">
        <v>847</v>
      </c>
      <c r="F49">
        <v>729</v>
      </c>
      <c r="I49" t="s">
        <v>152</v>
      </c>
      <c r="J49" s="8" t="s">
        <v>82</v>
      </c>
      <c r="K49">
        <v>178</v>
      </c>
      <c r="L49">
        <v>64</v>
      </c>
      <c r="M49">
        <v>92</v>
      </c>
      <c r="N49">
        <v>95</v>
      </c>
      <c r="O49">
        <v>100</v>
      </c>
      <c r="P49" s="10">
        <f t="shared" si="0"/>
        <v>0.5625</v>
      </c>
    </row>
    <row r="50" spans="1:16" x14ac:dyDescent="0.35">
      <c r="A50" t="s">
        <v>139</v>
      </c>
      <c r="B50" t="s">
        <v>71</v>
      </c>
      <c r="C50">
        <v>250</v>
      </c>
      <c r="D50">
        <v>240</v>
      </c>
      <c r="E50">
        <v>207</v>
      </c>
      <c r="F50">
        <v>237</v>
      </c>
      <c r="I50" t="s">
        <v>158</v>
      </c>
      <c r="J50" s="8" t="s">
        <v>82</v>
      </c>
      <c r="K50" s="1" t="s">
        <v>4</v>
      </c>
      <c r="L50">
        <v>143</v>
      </c>
      <c r="M50">
        <v>96</v>
      </c>
      <c r="N50">
        <v>126</v>
      </c>
      <c r="O50">
        <v>214</v>
      </c>
      <c r="P50" s="10">
        <f t="shared" si="0"/>
        <v>0.49650349650349651</v>
      </c>
    </row>
    <row r="51" spans="1:16" x14ac:dyDescent="0.35">
      <c r="A51" t="s">
        <v>140</v>
      </c>
      <c r="B51" t="s">
        <v>71</v>
      </c>
      <c r="C51">
        <v>262</v>
      </c>
      <c r="D51">
        <v>263</v>
      </c>
      <c r="E51">
        <v>259</v>
      </c>
      <c r="F51">
        <v>351</v>
      </c>
    </row>
    <row r="52" spans="1:16" x14ac:dyDescent="0.35">
      <c r="A52" t="s">
        <v>141</v>
      </c>
      <c r="B52" t="s">
        <v>71</v>
      </c>
      <c r="C52">
        <v>287</v>
      </c>
      <c r="D52">
        <v>228</v>
      </c>
      <c r="E52">
        <v>250</v>
      </c>
      <c r="F52">
        <v>329</v>
      </c>
    </row>
    <row r="53" spans="1:16" x14ac:dyDescent="0.35">
      <c r="A53" t="s">
        <v>142</v>
      </c>
      <c r="B53" t="s">
        <v>71</v>
      </c>
      <c r="C53">
        <v>58</v>
      </c>
      <c r="D53">
        <v>65</v>
      </c>
      <c r="E53">
        <v>62</v>
      </c>
      <c r="F53">
        <v>70</v>
      </c>
      <c r="I53" t="s">
        <v>162</v>
      </c>
      <c r="J53" s="8" t="s">
        <v>163</v>
      </c>
      <c r="K53" s="8" t="s">
        <v>84</v>
      </c>
      <c r="L53" s="8" t="s">
        <v>85</v>
      </c>
      <c r="M53" s="8" t="s">
        <v>86</v>
      </c>
      <c r="N53" s="8" t="s">
        <v>87</v>
      </c>
      <c r="O53" s="8" t="s">
        <v>88</v>
      </c>
    </row>
    <row r="54" spans="1:16" x14ac:dyDescent="0.35">
      <c r="A54" t="s">
        <v>143</v>
      </c>
      <c r="B54" t="s">
        <v>71</v>
      </c>
      <c r="C54" s="7">
        <v>1222</v>
      </c>
      <c r="D54" s="7">
        <v>1252</v>
      </c>
      <c r="E54" s="7">
        <v>1348</v>
      </c>
      <c r="F54" s="7">
        <v>2090</v>
      </c>
      <c r="I54" t="s">
        <v>89</v>
      </c>
      <c r="J54" s="8" t="s">
        <v>82</v>
      </c>
      <c r="K54">
        <f>AVERAGE(K3:K6,K8:K12,K14:K17,K19:K32,K34:K37,K39:K49)</f>
        <v>240.0952380952381</v>
      </c>
      <c r="L54">
        <f>AVERAGE(L3:L37,L39:L45,L47:L50)</f>
        <v>231.71739130434781</v>
      </c>
      <c r="M54">
        <f>AVERAGE(M3:M37,M39:M45,M47:M50)</f>
        <v>222.13043478260869</v>
      </c>
      <c r="N54">
        <f>AVERAGE(N3:N20,N22:N28,N30:N45,N48:N50,N47)</f>
        <v>218.53333333333333</v>
      </c>
      <c r="O54">
        <f>AVERAGE(O3:O28,O30:O39,O41:O45,O47:O50)</f>
        <v>237.46666666666667</v>
      </c>
    </row>
    <row r="55" spans="1:16" x14ac:dyDescent="0.35">
      <c r="A55" t="s">
        <v>144</v>
      </c>
      <c r="B55" t="s">
        <v>71</v>
      </c>
      <c r="C55">
        <v>366</v>
      </c>
      <c r="D55">
        <v>308</v>
      </c>
      <c r="E55">
        <v>312</v>
      </c>
      <c r="F55">
        <v>347</v>
      </c>
      <c r="I55" t="s">
        <v>164</v>
      </c>
      <c r="J55" s="8" t="s">
        <v>82</v>
      </c>
      <c r="K55">
        <f>AVERAGE(K5,K6,K8,K14,K17,K21,K22:K25,K29,K31,K42:K48)</f>
        <v>228.42105263157896</v>
      </c>
      <c r="L55">
        <f>AVERAGE(L5,L6,L8,L7,L18,L14,L17,L21,L22:L25,L29,L31,L42:L48)</f>
        <v>218.15</v>
      </c>
      <c r="M55">
        <f t="shared" ref="M55:O55" si="2">AVERAGE(M5,M6,M8,M7,M18,M14,M17,M21,M22:M25,M29,M31,M42:M48)</f>
        <v>229.8</v>
      </c>
      <c r="N55">
        <f t="shared" si="2"/>
        <v>241.55555555555554</v>
      </c>
      <c r="O55">
        <f t="shared" si="2"/>
        <v>260.26315789473682</v>
      </c>
    </row>
    <row r="56" spans="1:16" x14ac:dyDescent="0.35">
      <c r="A56" t="s">
        <v>156</v>
      </c>
      <c r="B56" t="s">
        <v>71</v>
      </c>
      <c r="C56">
        <v>155</v>
      </c>
      <c r="D56">
        <v>128</v>
      </c>
      <c r="E56">
        <v>128</v>
      </c>
      <c r="F56">
        <v>181</v>
      </c>
      <c r="I56" t="s">
        <v>165</v>
      </c>
      <c r="J56" s="8" t="s">
        <v>82</v>
      </c>
      <c r="K56">
        <f>AVERAGE(K3,K11,K15,K34:K37,K41,K32,K49,K50)</f>
        <v>256.10000000000002</v>
      </c>
      <c r="L56">
        <f t="shared" ref="L56:O56" si="3">AVERAGE(L3,L11,L15,L34:L37,L41,L32,L49,L50)</f>
        <v>234.81818181818181</v>
      </c>
      <c r="M56">
        <f t="shared" si="3"/>
        <v>248.81818181818181</v>
      </c>
      <c r="N56">
        <f t="shared" si="3"/>
        <v>237.63636363636363</v>
      </c>
      <c r="O56">
        <f t="shared" si="3"/>
        <v>264.27272727272725</v>
      </c>
    </row>
    <row r="57" spans="1:16" x14ac:dyDescent="0.35">
      <c r="A57" t="s">
        <v>145</v>
      </c>
      <c r="B57" t="s">
        <v>71</v>
      </c>
      <c r="C57">
        <v>216</v>
      </c>
      <c r="D57">
        <v>178</v>
      </c>
      <c r="E57">
        <v>175</v>
      </c>
      <c r="F57">
        <v>204</v>
      </c>
      <c r="I57" t="s">
        <v>166</v>
      </c>
      <c r="J57" s="8" t="s">
        <v>82</v>
      </c>
      <c r="K57">
        <f>AVERAGE(K4,K9:K10,K12,K16,K19,K20,K26:K28,K30,K33,K39,K40,)</f>
        <v>227.35714285714286</v>
      </c>
      <c r="L57">
        <f t="shared" ref="L57:O57" si="4">AVERAGE(L4,L9:L10,L12,L16,L19,L20,L26:L28,L30,L33,L39,L40,)</f>
        <v>220.8</v>
      </c>
      <c r="M57">
        <f t="shared" si="4"/>
        <v>168.06666666666666</v>
      </c>
      <c r="N57">
        <f t="shared" si="4"/>
        <v>167.86666666666667</v>
      </c>
      <c r="O57">
        <f t="shared" si="4"/>
        <v>177.28571428571428</v>
      </c>
    </row>
    <row r="58" spans="1:16" x14ac:dyDescent="0.35">
      <c r="A58" t="s">
        <v>146</v>
      </c>
      <c r="B58" t="s">
        <v>71</v>
      </c>
      <c r="C58">
        <v>304</v>
      </c>
      <c r="D58">
        <v>277</v>
      </c>
      <c r="E58">
        <v>290</v>
      </c>
      <c r="F58">
        <v>254</v>
      </c>
    </row>
    <row r="59" spans="1:16" x14ac:dyDescent="0.35">
      <c r="A59" t="s">
        <v>147</v>
      </c>
      <c r="B59" t="s">
        <v>71</v>
      </c>
      <c r="C59">
        <v>162</v>
      </c>
      <c r="D59">
        <v>134</v>
      </c>
      <c r="E59">
        <v>160</v>
      </c>
      <c r="F59">
        <v>176</v>
      </c>
    </row>
    <row r="60" spans="1:16" x14ac:dyDescent="0.35">
      <c r="A60" t="s">
        <v>148</v>
      </c>
      <c r="B60" t="s">
        <v>71</v>
      </c>
      <c r="C60">
        <v>51</v>
      </c>
      <c r="D60">
        <v>57</v>
      </c>
      <c r="E60">
        <v>62</v>
      </c>
      <c r="F60">
        <v>53</v>
      </c>
    </row>
    <row r="61" spans="1:16" x14ac:dyDescent="0.35">
      <c r="A61" t="s">
        <v>149</v>
      </c>
      <c r="B61" t="s">
        <v>71</v>
      </c>
      <c r="C61">
        <v>593</v>
      </c>
      <c r="D61">
        <v>645</v>
      </c>
      <c r="E61">
        <v>635</v>
      </c>
      <c r="F61">
        <v>649</v>
      </c>
    </row>
    <row r="62" spans="1:16" x14ac:dyDescent="0.35">
      <c r="A62" t="s">
        <v>150</v>
      </c>
      <c r="B62" t="s">
        <v>71</v>
      </c>
      <c r="C62">
        <v>281</v>
      </c>
      <c r="D62">
        <v>350</v>
      </c>
      <c r="E62">
        <v>376</v>
      </c>
      <c r="F62">
        <v>338</v>
      </c>
    </row>
    <row r="63" spans="1:16" x14ac:dyDescent="0.35">
      <c r="A63" t="s">
        <v>151</v>
      </c>
      <c r="B63" t="s">
        <v>71</v>
      </c>
      <c r="C63">
        <v>204</v>
      </c>
      <c r="D63">
        <v>51</v>
      </c>
      <c r="E63">
        <v>108</v>
      </c>
      <c r="F63">
        <v>141</v>
      </c>
    </row>
    <row r="64" spans="1:16" x14ac:dyDescent="0.35">
      <c r="A64" t="s">
        <v>152</v>
      </c>
      <c r="B64" t="s">
        <v>71</v>
      </c>
      <c r="C64">
        <v>54</v>
      </c>
      <c r="D64">
        <v>44</v>
      </c>
      <c r="E64">
        <v>47</v>
      </c>
      <c r="F64">
        <v>85</v>
      </c>
    </row>
    <row r="65" spans="1:6" x14ac:dyDescent="0.35">
      <c r="A65" t="s">
        <v>153</v>
      </c>
      <c r="B65" t="s">
        <v>71</v>
      </c>
      <c r="C65">
        <v>8</v>
      </c>
      <c r="D65">
        <v>563</v>
      </c>
      <c r="E65">
        <v>728</v>
      </c>
      <c r="F65" s="7">
        <v>1341</v>
      </c>
    </row>
    <row r="66" spans="1:6" x14ac:dyDescent="0.35">
      <c r="A66" t="s">
        <v>154</v>
      </c>
      <c r="B66" t="s">
        <v>71</v>
      </c>
      <c r="C66">
        <v>212</v>
      </c>
      <c r="D66">
        <v>227</v>
      </c>
      <c r="E66">
        <v>409</v>
      </c>
      <c r="F66">
        <v>117</v>
      </c>
    </row>
    <row r="67" spans="1:6" x14ac:dyDescent="0.35">
      <c r="A67" t="s">
        <v>62</v>
      </c>
      <c r="B67" t="s">
        <v>71</v>
      </c>
      <c r="C67">
        <v>36</v>
      </c>
      <c r="D67">
        <v>30</v>
      </c>
      <c r="E67">
        <v>30</v>
      </c>
      <c r="F67">
        <v>69</v>
      </c>
    </row>
    <row r="68" spans="1:6" x14ac:dyDescent="0.35">
      <c r="A68" t="s">
        <v>79</v>
      </c>
      <c r="D68">
        <v>41</v>
      </c>
      <c r="E68">
        <v>122</v>
      </c>
      <c r="F68" s="1" t="s">
        <v>4</v>
      </c>
    </row>
    <row r="69" spans="1:6" x14ac:dyDescent="0.35">
      <c r="A69" t="s">
        <v>80</v>
      </c>
      <c r="E69">
        <v>196</v>
      </c>
      <c r="F69" s="1" t="s">
        <v>4</v>
      </c>
    </row>
    <row r="70" spans="1:6" x14ac:dyDescent="0.35">
      <c r="A70" t="s">
        <v>76</v>
      </c>
      <c r="F70">
        <v>69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H57"/>
  <sheetViews>
    <sheetView workbookViewId="0">
      <selection activeCell="K31" sqref="K31"/>
    </sheetView>
  </sheetViews>
  <sheetFormatPr defaultColWidth="11" defaultRowHeight="15.5" x14ac:dyDescent="0.35"/>
  <cols>
    <col min="1" max="1" width="27.33203125" customWidth="1"/>
  </cols>
  <sheetData>
    <row r="1" spans="1:8" x14ac:dyDescent="0.35">
      <c r="A1" t="s">
        <v>192</v>
      </c>
    </row>
    <row r="2" spans="1:8" x14ac:dyDescent="0.35">
      <c r="A2" s="8" t="s">
        <v>167</v>
      </c>
      <c r="B2" s="8" t="s">
        <v>85</v>
      </c>
      <c r="C2" s="9" t="s">
        <v>186</v>
      </c>
      <c r="D2" s="9" t="s">
        <v>86</v>
      </c>
      <c r="E2" s="9" t="s">
        <v>188</v>
      </c>
      <c r="F2" s="9" t="s">
        <v>87</v>
      </c>
      <c r="G2" s="9" t="s">
        <v>187</v>
      </c>
      <c r="H2" s="9" t="s">
        <v>88</v>
      </c>
    </row>
    <row r="4" spans="1:8" x14ac:dyDescent="0.35">
      <c r="A4" s="6" t="s">
        <v>19</v>
      </c>
      <c r="B4" s="21">
        <v>258</v>
      </c>
      <c r="C4" s="21">
        <v>301</v>
      </c>
      <c r="D4" s="21">
        <v>804</v>
      </c>
      <c r="E4" s="21">
        <v>1131</v>
      </c>
      <c r="F4" s="21">
        <v>1484</v>
      </c>
      <c r="G4" s="21">
        <v>1525</v>
      </c>
      <c r="H4" s="21">
        <v>1629</v>
      </c>
    </row>
    <row r="5" spans="1:8" x14ac:dyDescent="0.35">
      <c r="A5" s="6" t="s">
        <v>172</v>
      </c>
      <c r="B5" s="21">
        <v>1350</v>
      </c>
      <c r="C5" s="21">
        <v>1545</v>
      </c>
      <c r="D5" s="21">
        <v>1739</v>
      </c>
      <c r="E5" s="21">
        <v>1816</v>
      </c>
      <c r="F5" s="21">
        <v>1788</v>
      </c>
      <c r="G5" s="21">
        <v>1630</v>
      </c>
      <c r="H5" s="21">
        <v>1546</v>
      </c>
    </row>
    <row r="6" spans="1:8" x14ac:dyDescent="0.35">
      <c r="A6" s="6" t="s">
        <v>173</v>
      </c>
      <c r="B6" s="21">
        <v>119</v>
      </c>
      <c r="C6" s="21">
        <v>192</v>
      </c>
      <c r="D6" s="21">
        <v>215</v>
      </c>
      <c r="E6" s="21">
        <v>241</v>
      </c>
      <c r="F6" s="21">
        <v>279</v>
      </c>
      <c r="G6" s="21">
        <v>326</v>
      </c>
      <c r="H6" s="21">
        <v>452</v>
      </c>
    </row>
    <row r="7" spans="1:8" x14ac:dyDescent="0.35">
      <c r="A7" s="6" t="s">
        <v>22</v>
      </c>
      <c r="B7" s="21">
        <v>1330</v>
      </c>
      <c r="C7" s="21">
        <v>1393</v>
      </c>
      <c r="D7" s="21">
        <v>1423</v>
      </c>
      <c r="E7" s="21">
        <v>1329</v>
      </c>
      <c r="F7" s="21">
        <v>1332</v>
      </c>
      <c r="G7" s="21">
        <v>1369</v>
      </c>
      <c r="H7" s="21">
        <v>1506</v>
      </c>
    </row>
    <row r="8" spans="1:8" x14ac:dyDescent="0.35">
      <c r="A8" s="6" t="s">
        <v>181</v>
      </c>
      <c r="B8" s="21">
        <v>63</v>
      </c>
      <c r="C8" s="21">
        <v>84</v>
      </c>
      <c r="D8" s="21">
        <v>106</v>
      </c>
      <c r="E8" s="21">
        <v>134</v>
      </c>
      <c r="F8" s="21">
        <v>155</v>
      </c>
      <c r="G8" s="21">
        <v>172</v>
      </c>
      <c r="H8" s="21">
        <v>205</v>
      </c>
    </row>
    <row r="9" spans="1:8" x14ac:dyDescent="0.35">
      <c r="A9" s="6" t="s">
        <v>23</v>
      </c>
      <c r="B9" s="21">
        <v>142</v>
      </c>
      <c r="C9" s="21">
        <v>157</v>
      </c>
      <c r="D9" s="21">
        <v>177</v>
      </c>
      <c r="E9" s="21">
        <v>157</v>
      </c>
      <c r="F9" s="21">
        <v>172</v>
      </c>
      <c r="G9" s="21">
        <v>197</v>
      </c>
      <c r="H9" s="21">
        <v>195</v>
      </c>
    </row>
    <row r="10" spans="1:8" x14ac:dyDescent="0.35">
      <c r="A10" s="6" t="s">
        <v>24</v>
      </c>
      <c r="B10" s="21">
        <v>387</v>
      </c>
      <c r="C10" s="21">
        <v>392</v>
      </c>
      <c r="D10" s="21">
        <v>376</v>
      </c>
      <c r="E10" s="21">
        <v>410</v>
      </c>
      <c r="F10" s="21">
        <v>383</v>
      </c>
      <c r="G10" s="21">
        <v>394</v>
      </c>
      <c r="H10" s="21">
        <v>373</v>
      </c>
    </row>
    <row r="11" spans="1:8" x14ac:dyDescent="0.35">
      <c r="A11" s="6" t="s">
        <v>174</v>
      </c>
      <c r="B11" s="21">
        <v>603</v>
      </c>
      <c r="C11" s="21">
        <v>746</v>
      </c>
      <c r="D11" s="21">
        <v>847</v>
      </c>
      <c r="E11" s="21">
        <v>912</v>
      </c>
      <c r="F11" s="21">
        <v>975</v>
      </c>
      <c r="G11" s="21">
        <v>982</v>
      </c>
      <c r="H11" s="21">
        <v>1006</v>
      </c>
    </row>
    <row r="12" spans="1:8" x14ac:dyDescent="0.35">
      <c r="A12" s="6" t="s">
        <v>168</v>
      </c>
      <c r="B12" s="21">
        <v>557</v>
      </c>
      <c r="C12" s="21">
        <v>552</v>
      </c>
      <c r="D12" s="21">
        <v>560</v>
      </c>
      <c r="E12" s="21">
        <v>551</v>
      </c>
      <c r="F12" s="21">
        <v>493</v>
      </c>
      <c r="G12" s="21">
        <v>421</v>
      </c>
      <c r="H12" s="21">
        <v>390</v>
      </c>
    </row>
    <row r="13" spans="1:8" x14ac:dyDescent="0.35">
      <c r="A13" s="6" t="s">
        <v>25</v>
      </c>
      <c r="B13" s="21">
        <v>626</v>
      </c>
      <c r="C13" s="21">
        <v>763</v>
      </c>
      <c r="D13" s="21">
        <v>873</v>
      </c>
      <c r="E13" s="21">
        <v>949</v>
      </c>
      <c r="F13" s="21">
        <v>1000</v>
      </c>
      <c r="G13" s="21">
        <v>1045</v>
      </c>
      <c r="H13" s="21">
        <v>1072</v>
      </c>
    </row>
    <row r="14" spans="1:8" x14ac:dyDescent="0.35">
      <c r="A14" s="6" t="s">
        <v>182</v>
      </c>
      <c r="B14" s="21">
        <v>834</v>
      </c>
      <c r="C14" s="21">
        <v>1102</v>
      </c>
      <c r="D14" s="21">
        <v>1264</v>
      </c>
      <c r="E14" s="21">
        <v>1346</v>
      </c>
      <c r="F14" s="21">
        <v>1302</v>
      </c>
      <c r="G14" s="21">
        <v>1310</v>
      </c>
      <c r="H14" s="21">
        <v>1282</v>
      </c>
    </row>
    <row r="15" spans="1:8" x14ac:dyDescent="0.35">
      <c r="A15" s="6" t="s">
        <v>26</v>
      </c>
      <c r="B15" s="21">
        <v>124</v>
      </c>
      <c r="C15" s="21">
        <v>110</v>
      </c>
      <c r="D15" s="21">
        <v>110</v>
      </c>
      <c r="E15" s="21">
        <v>163</v>
      </c>
      <c r="F15" s="21">
        <v>197</v>
      </c>
      <c r="G15" s="21">
        <v>177</v>
      </c>
      <c r="H15" s="21">
        <v>167</v>
      </c>
    </row>
    <row r="16" spans="1:8" x14ac:dyDescent="0.35">
      <c r="A16" s="6" t="s">
        <v>27</v>
      </c>
      <c r="B16" s="21">
        <v>1306</v>
      </c>
      <c r="C16" s="21">
        <v>1319</v>
      </c>
      <c r="D16" s="21">
        <v>1261</v>
      </c>
      <c r="E16" s="21">
        <v>1098</v>
      </c>
      <c r="F16" s="21">
        <v>1019</v>
      </c>
      <c r="G16" s="21">
        <v>1069</v>
      </c>
      <c r="H16" s="21">
        <v>1133</v>
      </c>
    </row>
    <row r="17" spans="1:8" x14ac:dyDescent="0.35">
      <c r="A17" s="6" t="s">
        <v>28</v>
      </c>
      <c r="B17" s="21">
        <v>309</v>
      </c>
      <c r="C17" s="21">
        <v>354</v>
      </c>
      <c r="D17" s="21">
        <v>368</v>
      </c>
      <c r="E17" s="21">
        <v>370</v>
      </c>
      <c r="F17" s="21">
        <v>379</v>
      </c>
      <c r="G17" s="21">
        <v>449</v>
      </c>
      <c r="H17" s="21">
        <v>489</v>
      </c>
    </row>
    <row r="18" spans="1:8" x14ac:dyDescent="0.35">
      <c r="A18" s="6" t="s">
        <v>29</v>
      </c>
      <c r="B18" s="21">
        <v>482</v>
      </c>
      <c r="C18" s="21">
        <v>582</v>
      </c>
      <c r="D18" s="21">
        <v>642</v>
      </c>
      <c r="E18" s="21">
        <v>639</v>
      </c>
      <c r="F18" s="21">
        <v>654</v>
      </c>
      <c r="G18" s="21">
        <v>633</v>
      </c>
      <c r="H18" s="21">
        <v>692</v>
      </c>
    </row>
    <row r="19" spans="1:8" x14ac:dyDescent="0.35">
      <c r="A19" s="6" t="s">
        <v>30</v>
      </c>
      <c r="B19" s="21">
        <v>716</v>
      </c>
      <c r="C19" s="21">
        <v>998</v>
      </c>
      <c r="D19" s="21">
        <v>1140</v>
      </c>
      <c r="E19" s="21">
        <v>1239</v>
      </c>
      <c r="F19" s="21">
        <v>1410</v>
      </c>
      <c r="G19" s="21">
        <v>1570</v>
      </c>
      <c r="H19" s="21">
        <v>1770</v>
      </c>
    </row>
    <row r="20" spans="1:8" x14ac:dyDescent="0.35">
      <c r="A20" s="6" t="s">
        <v>31</v>
      </c>
      <c r="B20" s="21">
        <v>506</v>
      </c>
      <c r="C20" s="21">
        <v>525</v>
      </c>
      <c r="D20" s="21">
        <v>538</v>
      </c>
      <c r="E20" s="21">
        <v>530</v>
      </c>
      <c r="F20" s="21">
        <v>563</v>
      </c>
      <c r="G20" s="21">
        <v>617</v>
      </c>
      <c r="H20" s="21">
        <v>576</v>
      </c>
    </row>
    <row r="21" spans="1:8" x14ac:dyDescent="0.35">
      <c r="A21" s="6" t="s">
        <v>33</v>
      </c>
      <c r="B21" s="21">
        <v>514</v>
      </c>
      <c r="C21" s="21">
        <v>569</v>
      </c>
      <c r="D21" s="21">
        <v>548</v>
      </c>
      <c r="E21" s="21">
        <v>483</v>
      </c>
      <c r="F21" s="21">
        <v>406</v>
      </c>
      <c r="G21" s="21">
        <v>374</v>
      </c>
      <c r="H21" s="21">
        <v>345</v>
      </c>
    </row>
    <row r="22" spans="1:8" x14ac:dyDescent="0.35">
      <c r="A22" s="15" t="s">
        <v>170</v>
      </c>
      <c r="B22" s="21">
        <v>752</v>
      </c>
      <c r="C22" s="21">
        <v>713</v>
      </c>
      <c r="D22" s="21">
        <v>716</v>
      </c>
      <c r="E22" s="21">
        <v>497</v>
      </c>
      <c r="F22" s="21">
        <v>329</v>
      </c>
      <c r="G22" s="21">
        <v>126</v>
      </c>
      <c r="H22" s="21">
        <v>337</v>
      </c>
    </row>
    <row r="23" spans="1:8" x14ac:dyDescent="0.35">
      <c r="A23" s="6" t="s">
        <v>169</v>
      </c>
      <c r="B23" s="21">
        <v>1781</v>
      </c>
      <c r="C23" s="21">
        <v>1676</v>
      </c>
      <c r="D23" s="21">
        <v>1576</v>
      </c>
      <c r="E23" s="21">
        <v>1388</v>
      </c>
      <c r="F23" s="21">
        <v>1258</v>
      </c>
      <c r="G23" s="21">
        <v>1240</v>
      </c>
      <c r="H23" s="21">
        <v>1155</v>
      </c>
    </row>
    <row r="24" spans="1:8" x14ac:dyDescent="0.35">
      <c r="A24" s="6" t="s">
        <v>34</v>
      </c>
      <c r="B24" s="21">
        <v>601</v>
      </c>
      <c r="C24" s="21">
        <v>709</v>
      </c>
      <c r="D24" s="21">
        <v>731</v>
      </c>
      <c r="E24" s="21">
        <v>755</v>
      </c>
      <c r="F24" s="21">
        <v>758</v>
      </c>
      <c r="G24" s="21">
        <v>788</v>
      </c>
      <c r="H24" s="21">
        <v>745</v>
      </c>
    </row>
    <row r="25" spans="1:8" x14ac:dyDescent="0.35">
      <c r="A25" s="6" t="s">
        <v>171</v>
      </c>
      <c r="B25" s="21">
        <v>829</v>
      </c>
      <c r="C25" s="21">
        <v>997</v>
      </c>
      <c r="D25" s="21">
        <v>1093</v>
      </c>
      <c r="E25" s="21">
        <v>1098</v>
      </c>
      <c r="F25" s="21">
        <v>1220</v>
      </c>
      <c r="G25" s="21">
        <v>1297</v>
      </c>
      <c r="H25" s="21">
        <v>1276</v>
      </c>
    </row>
    <row r="26" spans="1:8" x14ac:dyDescent="0.35">
      <c r="A26" s="6" t="s">
        <v>35</v>
      </c>
      <c r="B26" s="21">
        <v>372</v>
      </c>
      <c r="C26" s="21">
        <v>457</v>
      </c>
      <c r="D26" s="21">
        <v>494</v>
      </c>
      <c r="E26" s="21">
        <v>533</v>
      </c>
      <c r="F26" s="21">
        <v>568</v>
      </c>
      <c r="G26" s="21">
        <v>595</v>
      </c>
      <c r="H26" s="21">
        <v>612</v>
      </c>
    </row>
    <row r="27" spans="1:8" x14ac:dyDescent="0.35">
      <c r="A27" s="6" t="s">
        <v>175</v>
      </c>
      <c r="B27" s="21">
        <v>1789</v>
      </c>
      <c r="C27" s="21">
        <v>1706</v>
      </c>
      <c r="D27" s="21">
        <v>1673</v>
      </c>
      <c r="E27" s="21">
        <v>1603</v>
      </c>
      <c r="F27" s="21">
        <v>1463</v>
      </c>
      <c r="G27" s="21">
        <v>1427</v>
      </c>
      <c r="H27" s="21">
        <v>1445</v>
      </c>
    </row>
    <row r="28" spans="1:8" x14ac:dyDescent="0.35">
      <c r="A28" s="6" t="s">
        <v>176</v>
      </c>
      <c r="B28" s="21">
        <v>452</v>
      </c>
      <c r="C28" s="21">
        <v>553</v>
      </c>
      <c r="D28" s="21">
        <v>530</v>
      </c>
      <c r="E28" s="21">
        <v>555</v>
      </c>
      <c r="F28" s="21">
        <v>536</v>
      </c>
      <c r="G28" s="21">
        <v>525</v>
      </c>
      <c r="H28" s="21">
        <v>488</v>
      </c>
    </row>
    <row r="29" spans="1:8" x14ac:dyDescent="0.35">
      <c r="A29" s="6" t="s">
        <v>177</v>
      </c>
      <c r="B29" s="21">
        <v>1022</v>
      </c>
      <c r="C29" s="21">
        <v>1015</v>
      </c>
      <c r="D29" s="21">
        <v>1044</v>
      </c>
      <c r="E29" s="21">
        <v>1139</v>
      </c>
      <c r="F29" s="21">
        <v>1130</v>
      </c>
      <c r="G29" s="21">
        <v>1136</v>
      </c>
      <c r="H29" s="21">
        <v>1055</v>
      </c>
    </row>
    <row r="30" spans="1:8" x14ac:dyDescent="0.35">
      <c r="A30" s="15" t="s">
        <v>38</v>
      </c>
      <c r="B30" s="21">
        <v>792</v>
      </c>
      <c r="C30" s="21">
        <v>794</v>
      </c>
      <c r="D30" s="21">
        <v>804</v>
      </c>
      <c r="E30" s="21">
        <v>588</v>
      </c>
      <c r="F30" s="21">
        <v>370</v>
      </c>
      <c r="G30" s="21">
        <v>103</v>
      </c>
      <c r="H30" s="21">
        <v>45</v>
      </c>
    </row>
    <row r="31" spans="1:8" x14ac:dyDescent="0.35">
      <c r="A31" s="6" t="s">
        <v>39</v>
      </c>
      <c r="B31" s="21">
        <v>646</v>
      </c>
      <c r="C31" s="21">
        <v>813</v>
      </c>
      <c r="D31" s="21">
        <v>887</v>
      </c>
      <c r="E31" s="21">
        <v>938</v>
      </c>
      <c r="F31" s="21">
        <v>941</v>
      </c>
      <c r="G31" s="21">
        <v>1035</v>
      </c>
      <c r="H31" s="21">
        <v>1029</v>
      </c>
    </row>
    <row r="32" spans="1:8" x14ac:dyDescent="0.35">
      <c r="A32" s="6" t="s">
        <v>41</v>
      </c>
      <c r="B32" s="21">
        <v>326</v>
      </c>
      <c r="C32" s="21">
        <v>456</v>
      </c>
      <c r="D32" s="21">
        <v>462</v>
      </c>
      <c r="E32" s="21">
        <v>501</v>
      </c>
      <c r="F32" s="21">
        <v>519</v>
      </c>
      <c r="G32" s="21">
        <v>522</v>
      </c>
      <c r="H32" s="21">
        <v>547</v>
      </c>
    </row>
    <row r="33" spans="1:8" x14ac:dyDescent="0.35">
      <c r="A33" s="6" t="s">
        <v>44</v>
      </c>
      <c r="B33" s="21">
        <v>828</v>
      </c>
      <c r="C33" s="21">
        <v>963</v>
      </c>
      <c r="D33" s="21">
        <v>1075</v>
      </c>
      <c r="E33" s="21">
        <v>1134</v>
      </c>
      <c r="F33" s="21">
        <v>1134</v>
      </c>
      <c r="G33" s="21">
        <v>1148</v>
      </c>
      <c r="H33" s="21">
        <v>1121</v>
      </c>
    </row>
    <row r="34" spans="1:8" x14ac:dyDescent="0.35">
      <c r="A34" s="6" t="s">
        <v>184</v>
      </c>
      <c r="B34" s="21">
        <v>526</v>
      </c>
      <c r="C34" s="21">
        <v>593</v>
      </c>
      <c r="D34" s="21">
        <v>621</v>
      </c>
      <c r="E34" s="21">
        <v>648</v>
      </c>
      <c r="F34" s="21">
        <v>644</v>
      </c>
      <c r="G34" s="21">
        <v>655</v>
      </c>
      <c r="H34" s="21">
        <v>627</v>
      </c>
    </row>
    <row r="35" spans="1:8" x14ac:dyDescent="0.35">
      <c r="A35" s="6" t="s">
        <v>178</v>
      </c>
      <c r="B35" s="21">
        <v>1059</v>
      </c>
      <c r="C35" s="21">
        <v>947</v>
      </c>
      <c r="D35" s="21">
        <v>971</v>
      </c>
      <c r="E35" s="21">
        <v>976</v>
      </c>
      <c r="F35" s="21">
        <v>985</v>
      </c>
      <c r="G35" s="21">
        <v>1059</v>
      </c>
      <c r="H35" s="21">
        <v>1019</v>
      </c>
    </row>
    <row r="36" spans="1:8" x14ac:dyDescent="0.35">
      <c r="A36" s="6" t="s">
        <v>45</v>
      </c>
      <c r="B36" s="21">
        <v>1254</v>
      </c>
      <c r="C36" s="21">
        <v>1269</v>
      </c>
      <c r="D36" s="21">
        <v>1301</v>
      </c>
      <c r="E36" s="21">
        <v>1301</v>
      </c>
      <c r="F36" s="21">
        <v>1339</v>
      </c>
      <c r="G36" s="21">
        <v>1299</v>
      </c>
      <c r="H36" s="21">
        <v>1193</v>
      </c>
    </row>
    <row r="37" spans="1:8" x14ac:dyDescent="0.35">
      <c r="A37" s="6" t="s">
        <v>46</v>
      </c>
      <c r="B37" s="21">
        <v>646</v>
      </c>
      <c r="C37" s="21">
        <v>616</v>
      </c>
      <c r="D37" s="21">
        <v>640</v>
      </c>
      <c r="E37" s="21">
        <v>614</v>
      </c>
      <c r="F37" s="21">
        <v>566</v>
      </c>
      <c r="G37" s="21">
        <v>571</v>
      </c>
      <c r="H37" s="21">
        <v>812</v>
      </c>
    </row>
    <row r="38" spans="1:8" x14ac:dyDescent="0.35">
      <c r="A38" s="6" t="s">
        <v>179</v>
      </c>
      <c r="B38" s="21">
        <v>269</v>
      </c>
      <c r="C38" s="21">
        <v>308</v>
      </c>
      <c r="D38" s="21">
        <v>314</v>
      </c>
      <c r="E38" s="21">
        <v>349</v>
      </c>
      <c r="F38" s="21">
        <v>381</v>
      </c>
      <c r="G38" s="21">
        <v>438</v>
      </c>
      <c r="H38" s="21">
        <v>460</v>
      </c>
    </row>
    <row r="39" spans="1:8" x14ac:dyDescent="0.35">
      <c r="A39" s="15" t="s">
        <v>185</v>
      </c>
      <c r="B39" s="22" t="s">
        <v>4</v>
      </c>
      <c r="C39" s="22" t="s">
        <v>4</v>
      </c>
      <c r="D39" s="22" t="s">
        <v>4</v>
      </c>
      <c r="E39" s="22" t="s">
        <v>4</v>
      </c>
      <c r="F39" s="21">
        <v>98</v>
      </c>
      <c r="G39" s="21">
        <v>202</v>
      </c>
      <c r="H39" s="21">
        <v>281</v>
      </c>
    </row>
    <row r="40" spans="1:8" x14ac:dyDescent="0.35">
      <c r="A40" s="6" t="s">
        <v>47</v>
      </c>
      <c r="B40" s="21">
        <v>972</v>
      </c>
      <c r="C40" s="21">
        <v>1007</v>
      </c>
      <c r="D40" s="21">
        <v>1015</v>
      </c>
      <c r="E40" s="21">
        <v>994</v>
      </c>
      <c r="F40" s="21">
        <v>949</v>
      </c>
      <c r="G40" s="21">
        <v>892</v>
      </c>
      <c r="H40" s="21">
        <v>870</v>
      </c>
    </row>
    <row r="41" spans="1:8" x14ac:dyDescent="0.35">
      <c r="A41" s="6" t="s">
        <v>48</v>
      </c>
      <c r="B41" s="21">
        <v>543</v>
      </c>
      <c r="C41" s="21">
        <v>437</v>
      </c>
      <c r="D41" s="21">
        <v>422</v>
      </c>
      <c r="E41" s="21">
        <v>324</v>
      </c>
      <c r="F41" s="21">
        <v>224</v>
      </c>
      <c r="G41" s="21">
        <v>187</v>
      </c>
      <c r="H41" s="21">
        <v>137</v>
      </c>
    </row>
    <row r="42" spans="1:8" x14ac:dyDescent="0.35">
      <c r="A42" s="6" t="s">
        <v>49</v>
      </c>
      <c r="B42" s="21">
        <v>896</v>
      </c>
      <c r="C42" s="21">
        <v>1012</v>
      </c>
      <c r="D42" s="21">
        <v>982</v>
      </c>
      <c r="E42" s="21">
        <v>897</v>
      </c>
      <c r="F42" s="21">
        <v>904</v>
      </c>
      <c r="G42" s="21">
        <v>943</v>
      </c>
      <c r="H42" s="21">
        <v>844</v>
      </c>
    </row>
    <row r="43" spans="1:8" x14ac:dyDescent="0.35">
      <c r="A43" s="6" t="s">
        <v>51</v>
      </c>
      <c r="B43" s="21">
        <v>616</v>
      </c>
      <c r="C43" s="21">
        <v>808</v>
      </c>
      <c r="D43" s="21">
        <v>1141</v>
      </c>
      <c r="E43" s="21">
        <v>1402</v>
      </c>
      <c r="F43" s="21">
        <v>1478</v>
      </c>
      <c r="G43" s="21">
        <v>1674</v>
      </c>
      <c r="H43" s="21">
        <v>1854</v>
      </c>
    </row>
    <row r="44" spans="1:8" x14ac:dyDescent="0.35">
      <c r="A44" s="6" t="s">
        <v>52</v>
      </c>
      <c r="B44" s="21">
        <v>305</v>
      </c>
      <c r="C44" s="21">
        <v>395</v>
      </c>
      <c r="D44" s="21">
        <v>414</v>
      </c>
      <c r="E44" s="21">
        <v>420</v>
      </c>
      <c r="F44" s="21">
        <v>420</v>
      </c>
      <c r="G44" s="21">
        <v>452</v>
      </c>
      <c r="H44" s="21">
        <v>461</v>
      </c>
    </row>
    <row r="45" spans="1:8" x14ac:dyDescent="0.35">
      <c r="A45" s="6" t="s">
        <v>53</v>
      </c>
      <c r="B45" s="21">
        <v>620</v>
      </c>
      <c r="C45" s="21">
        <v>747</v>
      </c>
      <c r="D45" s="21">
        <v>794</v>
      </c>
      <c r="E45" s="21">
        <v>685</v>
      </c>
      <c r="F45" s="21">
        <v>592</v>
      </c>
      <c r="G45" s="21">
        <v>535</v>
      </c>
      <c r="H45" s="21">
        <v>533</v>
      </c>
    </row>
    <row r="46" spans="1:8" x14ac:dyDescent="0.35">
      <c r="A46" s="6" t="s">
        <v>55</v>
      </c>
      <c r="B46" s="21">
        <v>296</v>
      </c>
      <c r="C46" s="21">
        <v>277</v>
      </c>
      <c r="D46" s="21">
        <v>297</v>
      </c>
      <c r="E46" s="21">
        <v>252</v>
      </c>
      <c r="F46" s="21">
        <v>262</v>
      </c>
      <c r="G46" s="21">
        <v>263</v>
      </c>
      <c r="H46" s="21">
        <v>273</v>
      </c>
    </row>
    <row r="47" spans="1:8" x14ac:dyDescent="0.35">
      <c r="A47" s="6" t="s">
        <v>56</v>
      </c>
      <c r="B47" s="21">
        <v>113</v>
      </c>
      <c r="C47" s="21">
        <v>83</v>
      </c>
      <c r="D47" s="21">
        <v>45</v>
      </c>
      <c r="E47" s="21">
        <v>27</v>
      </c>
      <c r="F47" s="21">
        <v>14</v>
      </c>
      <c r="G47" s="21">
        <v>8</v>
      </c>
      <c r="H47" s="21">
        <v>4</v>
      </c>
    </row>
    <row r="48" spans="1:8" x14ac:dyDescent="0.35">
      <c r="A48" s="6" t="s">
        <v>180</v>
      </c>
      <c r="B48" s="21">
        <v>1899</v>
      </c>
      <c r="C48" s="21">
        <v>2101</v>
      </c>
      <c r="D48" s="21">
        <v>2251</v>
      </c>
      <c r="E48" s="21">
        <v>2325</v>
      </c>
      <c r="F48" s="21">
        <v>2310</v>
      </c>
      <c r="G48" s="21">
        <v>2173</v>
      </c>
      <c r="H48" s="21">
        <v>2195</v>
      </c>
    </row>
    <row r="49" spans="1:8" x14ac:dyDescent="0.35">
      <c r="A49" s="6" t="s">
        <v>58</v>
      </c>
      <c r="B49" s="21">
        <v>1125</v>
      </c>
      <c r="C49" s="21">
        <v>1298</v>
      </c>
      <c r="D49" s="21">
        <v>1327</v>
      </c>
      <c r="E49" s="21">
        <v>1282</v>
      </c>
      <c r="F49" s="21">
        <v>1307</v>
      </c>
      <c r="G49" s="21">
        <v>1208</v>
      </c>
      <c r="H49" s="21">
        <v>1209</v>
      </c>
    </row>
    <row r="50" spans="1:8" x14ac:dyDescent="0.35">
      <c r="A50" s="6" t="s">
        <v>59</v>
      </c>
      <c r="B50" s="21">
        <v>1315</v>
      </c>
      <c r="C50" s="21">
        <v>1434</v>
      </c>
      <c r="D50" s="21">
        <v>1533</v>
      </c>
      <c r="E50" s="21">
        <v>904</v>
      </c>
      <c r="F50" s="21">
        <v>955</v>
      </c>
      <c r="G50" s="21">
        <v>979</v>
      </c>
      <c r="H50" s="21">
        <v>921</v>
      </c>
    </row>
    <row r="51" spans="1:8" x14ac:dyDescent="0.35">
      <c r="A51" s="6" t="s">
        <v>183</v>
      </c>
      <c r="B51" s="21">
        <v>1059</v>
      </c>
      <c r="C51" s="21">
        <v>1133</v>
      </c>
      <c r="D51" s="21">
        <v>1050</v>
      </c>
      <c r="E51" s="21">
        <v>1066</v>
      </c>
      <c r="F51" s="21">
        <v>1057</v>
      </c>
      <c r="G51" s="21">
        <v>1133</v>
      </c>
      <c r="H51" s="21">
        <v>1372</v>
      </c>
    </row>
    <row r="52" spans="1:8" x14ac:dyDescent="0.35">
      <c r="A52" s="6"/>
      <c r="B52" s="7"/>
      <c r="C52" s="7"/>
      <c r="D52" s="7"/>
      <c r="E52" s="7"/>
      <c r="F52" s="7"/>
      <c r="G52" s="7"/>
      <c r="H52" s="7"/>
    </row>
    <row r="53" spans="1:8" x14ac:dyDescent="0.35">
      <c r="A53" s="6" t="s">
        <v>81</v>
      </c>
      <c r="B53" s="21">
        <f>SUM(B4:B51)</f>
        <v>33929</v>
      </c>
      <c r="C53" s="21">
        <f t="shared" ref="C53:H53" si="0">SUM(C4:C51)</f>
        <v>37001</v>
      </c>
      <c r="D53" s="21">
        <f t="shared" si="0"/>
        <v>39194</v>
      </c>
      <c r="E53" s="21">
        <f t="shared" si="0"/>
        <v>38693</v>
      </c>
      <c r="F53" s="21">
        <f t="shared" si="0"/>
        <v>38702</v>
      </c>
      <c r="G53" s="21">
        <f t="shared" si="0"/>
        <v>38873</v>
      </c>
      <c r="H53" s="21">
        <f t="shared" si="0"/>
        <v>39748</v>
      </c>
    </row>
    <row r="54" spans="1:8" x14ac:dyDescent="0.35">
      <c r="A54" s="6" t="s">
        <v>189</v>
      </c>
      <c r="B54" s="21">
        <f>AVERAGE(B4:B51)</f>
        <v>721.89361702127655</v>
      </c>
      <c r="C54" s="21">
        <f t="shared" ref="C54:H54" si="1">AVERAGE(C4:C51)</f>
        <v>787.25531914893622</v>
      </c>
      <c r="D54" s="21">
        <f t="shared" si="1"/>
        <v>833.91489361702122</v>
      </c>
      <c r="E54" s="21">
        <f t="shared" si="1"/>
        <v>823.25531914893622</v>
      </c>
      <c r="F54" s="21">
        <f t="shared" si="1"/>
        <v>806.29166666666663</v>
      </c>
      <c r="G54" s="21">
        <f t="shared" si="1"/>
        <v>809.85416666666663</v>
      </c>
      <c r="H54" s="21">
        <f t="shared" si="1"/>
        <v>828.08333333333337</v>
      </c>
    </row>
    <row r="55" spans="1:8" x14ac:dyDescent="0.35">
      <c r="A55" s="6" t="s">
        <v>190</v>
      </c>
      <c r="B55" s="21">
        <f>AVERAGE(B6:B9,B15,B18:B19,B22:B26,B30,B43:B46,B48:B49)</f>
        <v>682.31578947368416</v>
      </c>
      <c r="C55" s="21">
        <f t="shared" ref="C55:H55" si="2">AVERAGE(C6:C9,C15,C18:C19,C22:C26,C30,C43:C46,C48:C49)</f>
        <v>762.52631578947364</v>
      </c>
      <c r="D55" s="21">
        <f t="shared" si="2"/>
        <v>813.21052631578948</v>
      </c>
      <c r="E55" s="21">
        <f t="shared" si="2"/>
        <v>796.15789473684208</v>
      </c>
      <c r="F55" s="21">
        <f t="shared" si="2"/>
        <v>793.21052631578948</v>
      </c>
      <c r="G55" s="21">
        <f t="shared" si="2"/>
        <v>784.10526315789468</v>
      </c>
      <c r="H55" s="21">
        <f t="shared" si="2"/>
        <v>825.36842105263156</v>
      </c>
    </row>
    <row r="56" spans="1:8" x14ac:dyDescent="0.35">
      <c r="A56" s="6" t="s">
        <v>191</v>
      </c>
      <c r="B56" s="21">
        <f>AVERAGE(B4,B12,B14,B16,B33,B35:B39,B42,B47,B50:B51)</f>
        <v>799.53846153846155</v>
      </c>
      <c r="C56" s="21">
        <f t="shared" ref="C56:H56" si="3">AVERAGE(C4,C12,C14,C16,C33,C35:C39,C42,C47,C50:C51)</f>
        <v>849.15384615384619</v>
      </c>
      <c r="D56" s="21">
        <f t="shared" si="3"/>
        <v>907.69230769230774</v>
      </c>
      <c r="E56" s="21">
        <f t="shared" si="3"/>
        <v>876.46153846153845</v>
      </c>
      <c r="F56" s="21">
        <f t="shared" si="3"/>
        <v>837.92857142857144</v>
      </c>
      <c r="G56" s="21">
        <f t="shared" si="3"/>
        <v>864.64285714285711</v>
      </c>
      <c r="H56" s="21">
        <f t="shared" si="3"/>
        <v>890.07142857142856</v>
      </c>
    </row>
    <row r="57" spans="1:8" x14ac:dyDescent="0.35">
      <c r="A57" s="6" t="s">
        <v>193</v>
      </c>
      <c r="B57" s="21">
        <f>AVERAGE(B5,B10:B11,B13,B17,B20:B21,B27:B29,B31,B34,B40:B41)</f>
        <v>731.78571428571433</v>
      </c>
      <c r="C57" s="21">
        <f t="shared" ref="C57:H57" si="4">AVERAGE(C5,C10:C11,C13,C17,C20:C21,C27:C29,C31,C34,C40:C41)</f>
        <v>787</v>
      </c>
      <c r="D57" s="21">
        <f t="shared" si="4"/>
        <v>820.07142857142856</v>
      </c>
      <c r="E57" s="21">
        <f t="shared" si="4"/>
        <v>833.64285714285711</v>
      </c>
      <c r="F57" s="21">
        <f t="shared" si="4"/>
        <v>812.92857142857144</v>
      </c>
      <c r="G57" s="21">
        <f t="shared" si="4"/>
        <v>810.57142857142856</v>
      </c>
      <c r="H57" s="21">
        <f t="shared" si="4"/>
        <v>789.85714285714289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V581"/>
  <sheetViews>
    <sheetView workbookViewId="0"/>
  </sheetViews>
  <sheetFormatPr defaultColWidth="11" defaultRowHeight="15.5" x14ac:dyDescent="0.35"/>
  <cols>
    <col min="1" max="1" width="23.58203125" customWidth="1"/>
    <col min="2" max="2" width="10.83203125" style="28"/>
    <col min="3" max="3" width="11" style="28"/>
    <col min="4" max="4" width="24.25" customWidth="1"/>
    <col min="5" max="5" width="10.83203125" style="8"/>
    <col min="6" max="6" width="11" style="8"/>
    <col min="7" max="7" width="11.75" customWidth="1"/>
    <col min="8" max="8" width="23.58203125" style="8" customWidth="1"/>
    <col min="9" max="9" width="10.83203125" style="8"/>
    <col min="10" max="10" width="11" style="8"/>
    <col min="11" max="11" width="24.08203125" customWidth="1"/>
    <col min="12" max="12" width="10.83203125" style="8"/>
    <col min="13" max="13" width="11" style="8"/>
    <col min="14" max="14" width="10.83203125" customWidth="1"/>
    <col min="15" max="15" width="21.5" style="8" customWidth="1"/>
    <col min="16" max="16" width="10.83203125" style="8"/>
    <col min="17" max="17" width="11" style="8"/>
    <col min="18" max="18" width="23.58203125" customWidth="1"/>
    <col min="19" max="19" width="10.83203125" style="8"/>
    <col min="20" max="20" width="11" style="8"/>
    <col min="21" max="21" width="24.08203125" customWidth="1"/>
    <col min="22" max="22" width="10.83203125" style="8"/>
  </cols>
  <sheetData>
    <row r="1" spans="1:22" x14ac:dyDescent="0.35">
      <c r="A1" s="12" t="s">
        <v>199</v>
      </c>
    </row>
    <row r="2" spans="1:22" s="8" customFormat="1" x14ac:dyDescent="0.35">
      <c r="A2" s="8" t="s">
        <v>63</v>
      </c>
      <c r="B2" s="28" t="s">
        <v>197</v>
      </c>
      <c r="C2" s="28"/>
      <c r="D2" s="8" t="s">
        <v>63</v>
      </c>
      <c r="E2" s="28" t="s">
        <v>85</v>
      </c>
      <c r="F2" s="28" t="s">
        <v>186</v>
      </c>
      <c r="G2" s="28"/>
      <c r="H2" s="8" t="s">
        <v>63</v>
      </c>
      <c r="I2" s="28" t="s">
        <v>86</v>
      </c>
      <c r="J2" s="28"/>
      <c r="K2" s="8" t="s">
        <v>63</v>
      </c>
      <c r="L2" s="28" t="s">
        <v>188</v>
      </c>
      <c r="M2" s="28" t="s">
        <v>87</v>
      </c>
      <c r="N2" s="28"/>
      <c r="O2" s="8" t="s">
        <v>63</v>
      </c>
      <c r="P2" s="28" t="s">
        <v>198</v>
      </c>
      <c r="Q2" s="28"/>
      <c r="R2" s="8" t="s">
        <v>63</v>
      </c>
      <c r="S2" s="28" t="s">
        <v>88</v>
      </c>
    </row>
    <row r="3" spans="1:22" x14ac:dyDescent="0.35">
      <c r="A3" t="s">
        <v>292</v>
      </c>
      <c r="B3" s="29">
        <v>663</v>
      </c>
      <c r="C3" s="29"/>
      <c r="D3" t="s">
        <v>292</v>
      </c>
      <c r="E3" s="29">
        <v>559</v>
      </c>
      <c r="F3" s="29">
        <v>486</v>
      </c>
      <c r="G3" s="29"/>
      <c r="H3" t="s">
        <v>292</v>
      </c>
      <c r="I3" s="29">
        <v>95</v>
      </c>
      <c r="J3" s="29"/>
      <c r="K3" t="s">
        <v>292</v>
      </c>
      <c r="L3" s="29">
        <v>95</v>
      </c>
      <c r="M3" s="29">
        <v>84</v>
      </c>
      <c r="N3" s="29"/>
      <c r="O3" t="s">
        <v>292</v>
      </c>
      <c r="P3" s="29">
        <v>94</v>
      </c>
      <c r="Q3" s="29"/>
      <c r="R3" t="s">
        <v>292</v>
      </c>
      <c r="S3" s="29">
        <v>91</v>
      </c>
      <c r="T3"/>
      <c r="V3"/>
    </row>
    <row r="4" spans="1:22" x14ac:dyDescent="0.35">
      <c r="A4" t="s">
        <v>260</v>
      </c>
      <c r="B4" s="9">
        <v>1058</v>
      </c>
      <c r="C4" s="9"/>
      <c r="D4" t="s">
        <v>260</v>
      </c>
      <c r="E4" s="9">
        <v>1020</v>
      </c>
      <c r="F4" s="29">
        <v>946</v>
      </c>
      <c r="G4" s="29"/>
      <c r="H4" t="s">
        <v>260</v>
      </c>
      <c r="I4" s="29">
        <v>899</v>
      </c>
      <c r="J4" s="29"/>
      <c r="K4" t="s">
        <v>260</v>
      </c>
      <c r="L4" s="29">
        <v>839</v>
      </c>
      <c r="M4" s="29">
        <v>752</v>
      </c>
      <c r="N4" s="29"/>
      <c r="O4" t="s">
        <v>260</v>
      </c>
      <c r="P4" s="29">
        <v>769</v>
      </c>
      <c r="Q4" s="29"/>
      <c r="R4" t="s">
        <v>260</v>
      </c>
      <c r="S4" s="29">
        <v>772</v>
      </c>
      <c r="T4"/>
      <c r="V4"/>
    </row>
    <row r="5" spans="1:22" x14ac:dyDescent="0.35">
      <c r="A5" t="s">
        <v>312</v>
      </c>
      <c r="B5" s="29">
        <v>102</v>
      </c>
      <c r="C5" s="29"/>
      <c r="D5" t="s">
        <v>312</v>
      </c>
      <c r="E5" s="29">
        <v>94</v>
      </c>
      <c r="F5" s="29">
        <v>92</v>
      </c>
      <c r="G5" s="29"/>
      <c r="H5" t="s">
        <v>312</v>
      </c>
      <c r="I5" s="29">
        <v>95</v>
      </c>
      <c r="J5" s="29"/>
      <c r="K5" t="s">
        <v>312</v>
      </c>
      <c r="L5" s="29">
        <v>108</v>
      </c>
      <c r="M5" s="29">
        <v>125</v>
      </c>
      <c r="N5" s="29"/>
      <c r="O5" t="s">
        <v>312</v>
      </c>
      <c r="P5" s="29">
        <v>157</v>
      </c>
      <c r="Q5" s="29"/>
      <c r="R5" t="s">
        <v>312</v>
      </c>
      <c r="S5" s="29">
        <v>206</v>
      </c>
      <c r="T5"/>
      <c r="V5"/>
    </row>
    <row r="6" spans="1:22" x14ac:dyDescent="0.35">
      <c r="A6" t="s">
        <v>20</v>
      </c>
      <c r="B6" s="29">
        <v>192</v>
      </c>
      <c r="C6" s="29"/>
      <c r="D6" t="s">
        <v>20</v>
      </c>
      <c r="E6" s="29">
        <v>181</v>
      </c>
      <c r="F6" s="29">
        <v>168</v>
      </c>
      <c r="G6" s="29"/>
      <c r="H6" t="s">
        <v>20</v>
      </c>
      <c r="I6" s="29">
        <v>179</v>
      </c>
      <c r="J6" s="29"/>
      <c r="K6" t="s">
        <v>20</v>
      </c>
      <c r="L6" s="29">
        <v>166</v>
      </c>
      <c r="M6" s="29">
        <v>138</v>
      </c>
      <c r="N6" s="29"/>
      <c r="O6" t="s">
        <v>20</v>
      </c>
      <c r="P6" s="29">
        <v>149</v>
      </c>
      <c r="Q6" s="29"/>
      <c r="R6" t="s">
        <v>20</v>
      </c>
      <c r="S6" s="29">
        <v>176</v>
      </c>
      <c r="T6"/>
      <c r="V6"/>
    </row>
    <row r="7" spans="1:22" x14ac:dyDescent="0.35">
      <c r="A7" t="s">
        <v>21</v>
      </c>
      <c r="B7" s="29">
        <v>584</v>
      </c>
      <c r="C7" s="29"/>
      <c r="D7" t="s">
        <v>21</v>
      </c>
      <c r="E7" s="29">
        <v>522</v>
      </c>
      <c r="F7" s="29">
        <v>493</v>
      </c>
      <c r="G7" s="29"/>
      <c r="H7" t="s">
        <v>21</v>
      </c>
      <c r="I7" s="29">
        <v>439</v>
      </c>
      <c r="J7" s="29"/>
      <c r="K7" t="s">
        <v>21</v>
      </c>
      <c r="L7" s="29">
        <v>618</v>
      </c>
      <c r="M7" s="29">
        <v>603</v>
      </c>
      <c r="N7" s="29"/>
      <c r="O7" t="s">
        <v>21</v>
      </c>
      <c r="P7" s="29">
        <v>689</v>
      </c>
      <c r="Q7" s="29"/>
      <c r="R7" t="s">
        <v>21</v>
      </c>
      <c r="S7" s="29">
        <v>690</v>
      </c>
      <c r="T7"/>
      <c r="V7"/>
    </row>
    <row r="8" spans="1:22" x14ac:dyDescent="0.35">
      <c r="A8" t="s">
        <v>22</v>
      </c>
      <c r="B8" s="9">
        <v>1106</v>
      </c>
      <c r="C8" s="9"/>
      <c r="D8" t="s">
        <v>22</v>
      </c>
      <c r="E8" s="9">
        <v>1029</v>
      </c>
      <c r="F8" s="29">
        <v>920</v>
      </c>
      <c r="G8" s="29"/>
      <c r="H8" t="s">
        <v>22</v>
      </c>
      <c r="I8" s="29">
        <v>921</v>
      </c>
      <c r="J8" s="29"/>
      <c r="K8" t="s">
        <v>22</v>
      </c>
      <c r="L8" s="29">
        <v>835</v>
      </c>
      <c r="M8" s="29">
        <v>902</v>
      </c>
      <c r="N8" s="29"/>
      <c r="O8" t="s">
        <v>22</v>
      </c>
      <c r="P8" s="29">
        <v>938</v>
      </c>
      <c r="Q8" s="29"/>
      <c r="R8" t="s">
        <v>22</v>
      </c>
      <c r="S8" s="29">
        <v>943</v>
      </c>
      <c r="T8"/>
      <c r="V8"/>
    </row>
    <row r="9" spans="1:22" x14ac:dyDescent="0.35">
      <c r="A9" t="s">
        <v>181</v>
      </c>
      <c r="B9" s="29">
        <v>193</v>
      </c>
      <c r="C9" s="29"/>
      <c r="D9" t="s">
        <v>181</v>
      </c>
      <c r="E9" s="29">
        <v>112</v>
      </c>
      <c r="F9" s="29">
        <v>152</v>
      </c>
      <c r="G9" s="29"/>
      <c r="H9" t="s">
        <v>181</v>
      </c>
      <c r="I9" s="29">
        <v>187</v>
      </c>
      <c r="J9" s="29"/>
      <c r="K9" t="s">
        <v>181</v>
      </c>
      <c r="L9" s="29">
        <v>212</v>
      </c>
      <c r="M9" s="29">
        <v>207</v>
      </c>
      <c r="N9" s="29"/>
      <c r="O9" t="s">
        <v>181</v>
      </c>
      <c r="P9" s="29">
        <v>203</v>
      </c>
      <c r="Q9" s="29"/>
      <c r="R9" t="s">
        <v>181</v>
      </c>
      <c r="S9" s="29">
        <v>226</v>
      </c>
      <c r="T9"/>
      <c r="V9"/>
    </row>
    <row r="10" spans="1:22" x14ac:dyDescent="0.35">
      <c r="A10" t="s">
        <v>23</v>
      </c>
      <c r="B10" s="29">
        <v>589</v>
      </c>
      <c r="C10" s="29"/>
      <c r="D10" t="s">
        <v>23</v>
      </c>
      <c r="E10" s="29">
        <v>626</v>
      </c>
      <c r="F10" s="29">
        <v>581</v>
      </c>
      <c r="G10" s="29"/>
      <c r="H10" t="s">
        <v>23</v>
      </c>
      <c r="I10" s="29">
        <v>593</v>
      </c>
      <c r="J10" s="29"/>
      <c r="K10" t="s">
        <v>23</v>
      </c>
      <c r="L10" s="29">
        <v>595</v>
      </c>
      <c r="M10" s="29">
        <v>593</v>
      </c>
      <c r="N10" s="29"/>
      <c r="O10" t="s">
        <v>23</v>
      </c>
      <c r="P10" s="29">
        <v>666</v>
      </c>
      <c r="Q10" s="29"/>
      <c r="R10" t="s">
        <v>23</v>
      </c>
      <c r="S10" s="29">
        <v>735</v>
      </c>
      <c r="T10"/>
      <c r="V10"/>
    </row>
    <row r="11" spans="1:22" x14ac:dyDescent="0.35">
      <c r="A11" t="s">
        <v>24</v>
      </c>
      <c r="B11" s="29">
        <v>504</v>
      </c>
      <c r="C11" s="29"/>
      <c r="D11" t="s">
        <v>24</v>
      </c>
      <c r="E11" s="29">
        <v>482</v>
      </c>
      <c r="F11" s="29">
        <v>549</v>
      </c>
      <c r="G11" s="29"/>
      <c r="H11" t="s">
        <v>24</v>
      </c>
      <c r="I11" s="29">
        <v>474</v>
      </c>
      <c r="J11" s="29"/>
      <c r="K11" t="s">
        <v>24</v>
      </c>
      <c r="L11" s="29">
        <v>464</v>
      </c>
      <c r="M11" s="29">
        <v>447</v>
      </c>
      <c r="N11" s="29"/>
      <c r="O11" t="s">
        <v>24</v>
      </c>
      <c r="P11" s="29">
        <v>490</v>
      </c>
      <c r="Q11" s="29"/>
      <c r="R11" t="s">
        <v>24</v>
      </c>
      <c r="S11" s="29">
        <v>400</v>
      </c>
      <c r="T11"/>
      <c r="V11"/>
    </row>
    <row r="12" spans="1:22" x14ac:dyDescent="0.35">
      <c r="A12" t="s">
        <v>174</v>
      </c>
      <c r="B12" s="29">
        <v>413</v>
      </c>
      <c r="C12" s="29"/>
      <c r="D12" t="s">
        <v>174</v>
      </c>
      <c r="E12" s="29">
        <v>406</v>
      </c>
      <c r="F12" s="29">
        <v>384</v>
      </c>
      <c r="G12" s="29"/>
      <c r="H12" t="s">
        <v>174</v>
      </c>
      <c r="I12" s="29">
        <v>382</v>
      </c>
      <c r="J12" s="29"/>
      <c r="K12" t="s">
        <v>174</v>
      </c>
      <c r="L12" s="29">
        <v>317</v>
      </c>
      <c r="M12" s="29">
        <v>318</v>
      </c>
      <c r="N12" s="29"/>
      <c r="O12" t="s">
        <v>174</v>
      </c>
      <c r="P12" s="29">
        <v>259</v>
      </c>
      <c r="Q12" s="29"/>
      <c r="R12" t="s">
        <v>174</v>
      </c>
      <c r="S12" s="29">
        <v>278</v>
      </c>
      <c r="T12"/>
      <c r="V12"/>
    </row>
    <row r="13" spans="1:22" x14ac:dyDescent="0.35">
      <c r="A13" t="s">
        <v>168</v>
      </c>
      <c r="B13" s="29">
        <v>181</v>
      </c>
      <c r="C13" s="29"/>
      <c r="D13" t="s">
        <v>168</v>
      </c>
      <c r="E13" s="29">
        <v>151</v>
      </c>
      <c r="F13" s="29">
        <v>178</v>
      </c>
      <c r="G13" s="29"/>
      <c r="H13" t="s">
        <v>168</v>
      </c>
      <c r="I13" s="29">
        <v>139</v>
      </c>
      <c r="J13" s="29"/>
      <c r="K13" t="s">
        <v>168</v>
      </c>
      <c r="L13" s="29">
        <v>161</v>
      </c>
      <c r="M13" s="29">
        <v>143</v>
      </c>
      <c r="N13" s="29"/>
      <c r="O13" t="s">
        <v>168</v>
      </c>
      <c r="P13" s="29">
        <v>158</v>
      </c>
      <c r="Q13" s="29"/>
      <c r="R13" t="s">
        <v>168</v>
      </c>
      <c r="S13" s="29">
        <v>123</v>
      </c>
      <c r="T13"/>
      <c r="V13"/>
    </row>
    <row r="14" spans="1:22" x14ac:dyDescent="0.35">
      <c r="A14" t="s">
        <v>279</v>
      </c>
      <c r="B14" s="29">
        <v>153</v>
      </c>
      <c r="C14" s="29"/>
      <c r="D14" t="s">
        <v>279</v>
      </c>
      <c r="E14" s="29">
        <v>162</v>
      </c>
      <c r="F14" s="29">
        <v>168</v>
      </c>
      <c r="G14" s="29"/>
      <c r="H14" t="s">
        <v>279</v>
      </c>
      <c r="I14" s="29">
        <v>165</v>
      </c>
      <c r="J14" s="29"/>
      <c r="K14" t="s">
        <v>279</v>
      </c>
      <c r="L14" s="29">
        <v>175</v>
      </c>
      <c r="M14" s="29">
        <v>238</v>
      </c>
      <c r="N14" s="29"/>
      <c r="O14" t="s">
        <v>279</v>
      </c>
      <c r="P14" s="29">
        <v>219</v>
      </c>
      <c r="Q14" s="29"/>
      <c r="R14" t="s">
        <v>279</v>
      </c>
      <c r="S14" s="29">
        <v>250</v>
      </c>
      <c r="T14"/>
      <c r="V14"/>
    </row>
    <row r="15" spans="1:22" x14ac:dyDescent="0.35">
      <c r="A15" t="s">
        <v>25</v>
      </c>
      <c r="B15" s="29">
        <v>746</v>
      </c>
      <c r="C15" s="29"/>
      <c r="D15" t="s">
        <v>25</v>
      </c>
      <c r="E15" s="29">
        <v>513</v>
      </c>
      <c r="F15" s="29">
        <v>507</v>
      </c>
      <c r="G15" s="29"/>
      <c r="H15" t="s">
        <v>25</v>
      </c>
      <c r="I15" s="29">
        <v>373</v>
      </c>
      <c r="J15" s="29"/>
      <c r="K15" t="s">
        <v>25</v>
      </c>
      <c r="L15" s="29">
        <v>374</v>
      </c>
      <c r="M15" s="29">
        <v>384</v>
      </c>
      <c r="N15" s="29"/>
      <c r="O15" t="s">
        <v>25</v>
      </c>
      <c r="P15" s="29">
        <v>432</v>
      </c>
      <c r="Q15" s="29"/>
      <c r="R15" t="s">
        <v>25</v>
      </c>
      <c r="S15" s="29">
        <v>411</v>
      </c>
      <c r="T15"/>
      <c r="V15"/>
    </row>
    <row r="16" spans="1:22" ht="31" x14ac:dyDescent="0.35">
      <c r="A16" s="62" t="s">
        <v>280</v>
      </c>
      <c r="B16" s="93">
        <v>202</v>
      </c>
      <c r="C16" s="93"/>
      <c r="D16" s="62" t="s">
        <v>280</v>
      </c>
      <c r="E16" s="93">
        <v>198</v>
      </c>
      <c r="F16" s="93">
        <v>206</v>
      </c>
      <c r="G16" s="93"/>
      <c r="H16" s="62" t="s">
        <v>280</v>
      </c>
      <c r="I16" s="29">
        <v>170</v>
      </c>
      <c r="J16" s="29"/>
      <c r="K16" s="62" t="s">
        <v>280</v>
      </c>
      <c r="L16" s="29">
        <v>163</v>
      </c>
      <c r="M16" s="29">
        <v>171</v>
      </c>
      <c r="N16" s="29"/>
      <c r="O16" s="62" t="s">
        <v>280</v>
      </c>
      <c r="P16" s="29">
        <v>203</v>
      </c>
      <c r="Q16" s="29"/>
      <c r="R16" s="62" t="s">
        <v>280</v>
      </c>
      <c r="S16" s="29">
        <v>190</v>
      </c>
      <c r="T16"/>
      <c r="V16"/>
    </row>
    <row r="17" spans="1:22" ht="31" x14ac:dyDescent="0.35">
      <c r="A17" s="62" t="s">
        <v>281</v>
      </c>
      <c r="B17" s="29">
        <v>573</v>
      </c>
      <c r="C17" s="29"/>
      <c r="D17" s="62" t="s">
        <v>281</v>
      </c>
      <c r="E17" s="29">
        <v>512</v>
      </c>
      <c r="F17" s="29">
        <v>364</v>
      </c>
      <c r="G17" s="29"/>
      <c r="H17" s="62" t="s">
        <v>281</v>
      </c>
      <c r="I17" s="29">
        <v>344</v>
      </c>
      <c r="J17" s="29"/>
      <c r="K17" s="62" t="s">
        <v>281</v>
      </c>
      <c r="L17" s="29">
        <v>358</v>
      </c>
      <c r="M17" s="29">
        <v>326</v>
      </c>
      <c r="N17" s="29"/>
      <c r="O17" s="62" t="s">
        <v>281</v>
      </c>
      <c r="P17" s="29">
        <v>350</v>
      </c>
      <c r="Q17" s="29"/>
      <c r="R17" s="62" t="s">
        <v>281</v>
      </c>
      <c r="S17" s="29">
        <v>388</v>
      </c>
      <c r="T17"/>
      <c r="V17"/>
    </row>
    <row r="18" spans="1:22" ht="31" x14ac:dyDescent="0.35">
      <c r="A18" s="62" t="s">
        <v>282</v>
      </c>
      <c r="B18" s="29">
        <v>188</v>
      </c>
      <c r="C18" s="29"/>
      <c r="D18" s="62" t="s">
        <v>282</v>
      </c>
      <c r="E18" s="29">
        <v>165</v>
      </c>
      <c r="F18" s="29">
        <v>135</v>
      </c>
      <c r="G18" s="29"/>
      <c r="H18" s="62" t="s">
        <v>282</v>
      </c>
      <c r="I18" s="29">
        <v>124</v>
      </c>
      <c r="J18" s="29"/>
      <c r="K18" s="62" t="s">
        <v>282</v>
      </c>
      <c r="L18" s="29">
        <v>143</v>
      </c>
      <c r="M18" s="29">
        <v>115</v>
      </c>
      <c r="N18" s="29"/>
      <c r="O18" s="62" t="s">
        <v>282</v>
      </c>
      <c r="P18" s="29">
        <v>116</v>
      </c>
      <c r="Q18" s="29"/>
      <c r="R18" s="62" t="s">
        <v>282</v>
      </c>
      <c r="S18" s="29">
        <v>87</v>
      </c>
      <c r="T18"/>
      <c r="V18"/>
    </row>
    <row r="19" spans="1:22" x14ac:dyDescent="0.35">
      <c r="A19" t="s">
        <v>26</v>
      </c>
      <c r="B19" s="29">
        <v>263</v>
      </c>
      <c r="C19" s="29"/>
      <c r="D19" t="s">
        <v>26</v>
      </c>
      <c r="E19" s="29">
        <v>392</v>
      </c>
      <c r="F19" s="29">
        <v>386</v>
      </c>
      <c r="G19" s="29"/>
      <c r="H19" t="s">
        <v>26</v>
      </c>
      <c r="I19" s="29">
        <v>399</v>
      </c>
      <c r="J19" s="29"/>
      <c r="K19" t="s">
        <v>26</v>
      </c>
      <c r="L19" s="29">
        <v>430</v>
      </c>
      <c r="M19" s="29">
        <v>488</v>
      </c>
      <c r="N19" s="29"/>
      <c r="O19" t="s">
        <v>26</v>
      </c>
      <c r="P19" s="29">
        <v>281</v>
      </c>
      <c r="Q19" s="29"/>
      <c r="R19" t="s">
        <v>26</v>
      </c>
      <c r="S19" s="29">
        <v>573</v>
      </c>
      <c r="T19"/>
      <c r="V19"/>
    </row>
    <row r="20" spans="1:22" x14ac:dyDescent="0.35">
      <c r="A20" t="s">
        <v>27</v>
      </c>
      <c r="B20" s="29">
        <v>534</v>
      </c>
      <c r="C20" s="29"/>
      <c r="D20" t="s">
        <v>27</v>
      </c>
      <c r="E20" s="29">
        <v>475</v>
      </c>
      <c r="F20" s="29">
        <v>534</v>
      </c>
      <c r="G20" s="29"/>
      <c r="H20" t="s">
        <v>27</v>
      </c>
      <c r="I20" s="29">
        <v>561</v>
      </c>
      <c r="J20" s="29"/>
      <c r="K20" t="s">
        <v>27</v>
      </c>
      <c r="L20" s="29">
        <v>665</v>
      </c>
      <c r="M20" s="29">
        <v>649</v>
      </c>
      <c r="N20" s="29"/>
      <c r="O20" t="s">
        <v>27</v>
      </c>
      <c r="P20" s="29">
        <v>670</v>
      </c>
      <c r="Q20" s="29"/>
      <c r="R20" t="s">
        <v>27</v>
      </c>
      <c r="S20" s="29">
        <v>634</v>
      </c>
      <c r="T20"/>
      <c r="V20"/>
    </row>
    <row r="21" spans="1:22" x14ac:dyDescent="0.35">
      <c r="A21" t="s">
        <v>28</v>
      </c>
      <c r="B21" s="29">
        <v>319</v>
      </c>
      <c r="C21" s="29"/>
      <c r="D21" t="s">
        <v>28</v>
      </c>
      <c r="E21" s="29">
        <v>336</v>
      </c>
      <c r="F21" s="29">
        <v>350</v>
      </c>
      <c r="G21" s="29"/>
      <c r="H21" t="s">
        <v>28</v>
      </c>
      <c r="I21" s="29">
        <v>299</v>
      </c>
      <c r="J21" s="29"/>
      <c r="K21" t="s">
        <v>28</v>
      </c>
      <c r="L21" s="29">
        <v>315</v>
      </c>
      <c r="M21" s="29">
        <v>269</v>
      </c>
      <c r="N21" s="29"/>
      <c r="O21" t="s">
        <v>28</v>
      </c>
      <c r="P21" s="29">
        <v>214</v>
      </c>
      <c r="Q21" s="29"/>
      <c r="R21" t="s">
        <v>28</v>
      </c>
      <c r="S21" s="29">
        <v>273</v>
      </c>
      <c r="T21"/>
      <c r="V21"/>
    </row>
    <row r="22" spans="1:22" x14ac:dyDescent="0.35">
      <c r="A22" t="s">
        <v>29</v>
      </c>
      <c r="B22" s="29">
        <v>653</v>
      </c>
      <c r="C22" s="29"/>
      <c r="D22" t="s">
        <v>29</v>
      </c>
      <c r="E22" s="29">
        <v>735</v>
      </c>
      <c r="F22" s="29">
        <v>522</v>
      </c>
      <c r="G22" s="29"/>
      <c r="H22" t="s">
        <v>29</v>
      </c>
      <c r="I22" s="29">
        <v>580</v>
      </c>
      <c r="J22" s="29"/>
      <c r="K22" t="s">
        <v>29</v>
      </c>
      <c r="L22" s="29">
        <v>532</v>
      </c>
      <c r="M22" s="29">
        <v>546</v>
      </c>
      <c r="N22" s="29"/>
      <c r="O22" t="s">
        <v>29</v>
      </c>
      <c r="P22" s="29">
        <v>507</v>
      </c>
      <c r="Q22" s="29"/>
      <c r="R22" t="s">
        <v>29</v>
      </c>
      <c r="S22" s="29">
        <v>544</v>
      </c>
      <c r="T22"/>
      <c r="V22"/>
    </row>
    <row r="23" spans="1:22" x14ac:dyDescent="0.35">
      <c r="A23" t="s">
        <v>261</v>
      </c>
      <c r="B23" s="29">
        <v>158</v>
      </c>
      <c r="C23" s="29"/>
      <c r="D23" t="s">
        <v>261</v>
      </c>
      <c r="E23" s="29">
        <v>169</v>
      </c>
      <c r="F23" s="29">
        <v>230</v>
      </c>
      <c r="G23" s="29"/>
      <c r="H23" t="s">
        <v>261</v>
      </c>
      <c r="I23" s="29">
        <v>173</v>
      </c>
      <c r="J23" s="29"/>
      <c r="K23" t="s">
        <v>261</v>
      </c>
      <c r="L23" s="29">
        <v>137</v>
      </c>
      <c r="M23" s="29">
        <v>123</v>
      </c>
      <c r="N23" s="29"/>
      <c r="O23" t="s">
        <v>261</v>
      </c>
      <c r="P23" s="29">
        <v>109</v>
      </c>
      <c r="Q23" s="29"/>
      <c r="R23" t="s">
        <v>261</v>
      </c>
      <c r="S23" s="29">
        <v>123</v>
      </c>
      <c r="T23"/>
      <c r="V23"/>
    </row>
    <row r="24" spans="1:22" x14ac:dyDescent="0.35">
      <c r="A24" t="s">
        <v>31</v>
      </c>
      <c r="B24" s="29">
        <v>354</v>
      </c>
      <c r="C24" s="29"/>
      <c r="D24" t="s">
        <v>31</v>
      </c>
      <c r="E24" s="29">
        <v>269</v>
      </c>
      <c r="F24" s="29">
        <v>249</v>
      </c>
      <c r="G24" s="29"/>
      <c r="H24" t="s">
        <v>31</v>
      </c>
      <c r="I24" s="29">
        <v>220</v>
      </c>
      <c r="J24" s="29"/>
      <c r="K24" t="s">
        <v>31</v>
      </c>
      <c r="L24" s="29">
        <v>287</v>
      </c>
      <c r="M24" s="29">
        <v>280</v>
      </c>
      <c r="N24" s="29"/>
      <c r="O24" t="s">
        <v>31</v>
      </c>
      <c r="P24" s="29">
        <v>305</v>
      </c>
      <c r="Q24" s="29"/>
      <c r="R24" t="s">
        <v>31</v>
      </c>
      <c r="S24" s="29">
        <v>292</v>
      </c>
      <c r="T24"/>
      <c r="V24"/>
    </row>
    <row r="25" spans="1:22" x14ac:dyDescent="0.35">
      <c r="A25" t="s">
        <v>32</v>
      </c>
      <c r="B25" s="29">
        <v>152</v>
      </c>
      <c r="C25" s="29"/>
      <c r="D25" t="s">
        <v>32</v>
      </c>
      <c r="E25" s="29">
        <v>155</v>
      </c>
      <c r="F25" s="29">
        <v>136</v>
      </c>
      <c r="G25" s="29"/>
      <c r="H25" t="s">
        <v>32</v>
      </c>
      <c r="I25" s="29">
        <v>124</v>
      </c>
      <c r="J25" s="29"/>
      <c r="K25" t="s">
        <v>32</v>
      </c>
      <c r="L25" s="29">
        <v>121</v>
      </c>
      <c r="M25" s="29">
        <v>146</v>
      </c>
      <c r="N25" s="29"/>
      <c r="O25" t="s">
        <v>32</v>
      </c>
      <c r="P25" s="29">
        <v>146</v>
      </c>
      <c r="Q25" s="29"/>
      <c r="R25" t="s">
        <v>32</v>
      </c>
      <c r="S25" s="29">
        <v>122</v>
      </c>
      <c r="T25"/>
      <c r="V25"/>
    </row>
    <row r="26" spans="1:22" x14ac:dyDescent="0.35">
      <c r="A26" t="s">
        <v>33</v>
      </c>
      <c r="B26" s="29">
        <v>398</v>
      </c>
      <c r="C26" s="29"/>
      <c r="D26" t="s">
        <v>33</v>
      </c>
      <c r="E26" s="29">
        <v>484</v>
      </c>
      <c r="F26" s="29">
        <v>402</v>
      </c>
      <c r="G26" s="29"/>
      <c r="H26" t="s">
        <v>33</v>
      </c>
      <c r="I26" s="29">
        <v>373</v>
      </c>
      <c r="J26" s="29"/>
      <c r="K26" t="s">
        <v>33</v>
      </c>
      <c r="L26" s="29">
        <v>245</v>
      </c>
      <c r="M26" s="29">
        <v>224</v>
      </c>
      <c r="N26" s="29"/>
      <c r="O26" t="s">
        <v>33</v>
      </c>
      <c r="P26" s="29">
        <v>265</v>
      </c>
      <c r="Q26" s="29"/>
      <c r="R26" t="s">
        <v>33</v>
      </c>
      <c r="S26" s="29">
        <v>341</v>
      </c>
      <c r="T26"/>
      <c r="V26"/>
    </row>
    <row r="27" spans="1:22" x14ac:dyDescent="0.35">
      <c r="A27" t="s">
        <v>262</v>
      </c>
      <c r="B27" s="9">
        <v>1180</v>
      </c>
      <c r="C27" s="9"/>
      <c r="D27" t="s">
        <v>262</v>
      </c>
      <c r="E27" s="9">
        <v>1189</v>
      </c>
      <c r="F27" s="29">
        <v>980</v>
      </c>
      <c r="G27" s="29"/>
      <c r="H27" t="s">
        <v>262</v>
      </c>
      <c r="I27" s="9">
        <v>1074</v>
      </c>
      <c r="J27" s="9"/>
      <c r="K27" t="s">
        <v>262</v>
      </c>
      <c r="L27" s="29">
        <v>160</v>
      </c>
      <c r="M27" s="29">
        <v>196</v>
      </c>
      <c r="N27" s="29"/>
      <c r="O27" t="s">
        <v>262</v>
      </c>
      <c r="P27" s="29">
        <v>202</v>
      </c>
      <c r="Q27" s="29"/>
      <c r="R27" t="s">
        <v>262</v>
      </c>
      <c r="S27" s="29">
        <v>796</v>
      </c>
      <c r="T27"/>
      <c r="V27"/>
    </row>
    <row r="28" spans="1:22" x14ac:dyDescent="0.35">
      <c r="A28" t="s">
        <v>263</v>
      </c>
      <c r="B28" s="9">
        <v>1832</v>
      </c>
      <c r="C28" s="9"/>
      <c r="D28" t="s">
        <v>263</v>
      </c>
      <c r="E28" s="9">
        <v>1945</v>
      </c>
      <c r="F28" s="9">
        <v>1938</v>
      </c>
      <c r="G28" s="9"/>
      <c r="H28" t="s">
        <v>263</v>
      </c>
      <c r="I28" s="9">
        <v>1962</v>
      </c>
      <c r="J28" s="9"/>
      <c r="K28" t="s">
        <v>263</v>
      </c>
      <c r="L28" s="29">
        <v>768</v>
      </c>
      <c r="M28" s="29">
        <v>747</v>
      </c>
      <c r="N28" s="29"/>
      <c r="O28" t="s">
        <v>263</v>
      </c>
      <c r="P28" s="29">
        <v>823</v>
      </c>
      <c r="Q28" s="29"/>
      <c r="R28" t="s">
        <v>263</v>
      </c>
      <c r="S28" s="9">
        <v>2134</v>
      </c>
      <c r="T28"/>
      <c r="V28"/>
    </row>
    <row r="29" spans="1:22" x14ac:dyDescent="0.35">
      <c r="A29" t="s">
        <v>264</v>
      </c>
      <c r="B29" s="9">
        <v>1994</v>
      </c>
      <c r="C29" s="9"/>
      <c r="D29" t="s">
        <v>264</v>
      </c>
      <c r="E29" s="9">
        <v>1892</v>
      </c>
      <c r="F29" s="9">
        <v>2028</v>
      </c>
      <c r="G29" s="9"/>
      <c r="H29" t="s">
        <v>264</v>
      </c>
      <c r="I29" s="9">
        <v>2048</v>
      </c>
      <c r="J29" s="9"/>
      <c r="K29" t="s">
        <v>264</v>
      </c>
      <c r="L29" s="9">
        <v>1975</v>
      </c>
      <c r="M29" s="9">
        <v>2031</v>
      </c>
      <c r="N29" s="9"/>
      <c r="O29" t="s">
        <v>264</v>
      </c>
      <c r="P29" s="9">
        <v>2160</v>
      </c>
      <c r="Q29" s="9"/>
      <c r="R29" t="s">
        <v>264</v>
      </c>
      <c r="S29" s="9">
        <v>1925</v>
      </c>
      <c r="T29"/>
      <c r="V29"/>
    </row>
    <row r="30" spans="1:22" x14ac:dyDescent="0.35">
      <c r="A30" t="s">
        <v>265</v>
      </c>
      <c r="B30" s="29">
        <v>512</v>
      </c>
      <c r="C30" s="29"/>
      <c r="D30" t="s">
        <v>265</v>
      </c>
      <c r="E30" s="29">
        <v>639</v>
      </c>
      <c r="F30" s="29">
        <v>591</v>
      </c>
      <c r="G30" s="29"/>
      <c r="H30" t="s">
        <v>265</v>
      </c>
      <c r="I30" s="29">
        <v>655</v>
      </c>
      <c r="J30" s="29"/>
      <c r="K30" t="s">
        <v>265</v>
      </c>
      <c r="L30" s="9">
        <v>1733</v>
      </c>
      <c r="M30" s="9">
        <v>1868</v>
      </c>
      <c r="N30" s="9"/>
      <c r="O30" t="s">
        <v>265</v>
      </c>
      <c r="P30" s="9">
        <v>1959</v>
      </c>
      <c r="Q30" s="9"/>
      <c r="R30" t="s">
        <v>265</v>
      </c>
      <c r="S30" s="29">
        <v>830</v>
      </c>
      <c r="T30"/>
      <c r="V30"/>
    </row>
    <row r="31" spans="1:22" x14ac:dyDescent="0.35">
      <c r="A31" t="s">
        <v>36</v>
      </c>
      <c r="B31" s="29">
        <v>168</v>
      </c>
      <c r="C31" s="29"/>
      <c r="D31" t="s">
        <v>36</v>
      </c>
      <c r="E31" s="29">
        <v>154</v>
      </c>
      <c r="F31" s="29">
        <v>119</v>
      </c>
      <c r="G31" s="29"/>
      <c r="H31" t="s">
        <v>36</v>
      </c>
      <c r="I31" s="29">
        <v>113</v>
      </c>
      <c r="J31" s="29"/>
      <c r="K31" t="s">
        <v>36</v>
      </c>
      <c r="L31" s="29">
        <v>705</v>
      </c>
      <c r="M31" s="29">
        <v>754</v>
      </c>
      <c r="N31" s="29"/>
      <c r="O31" t="s">
        <v>36</v>
      </c>
      <c r="P31" s="29">
        <v>856</v>
      </c>
      <c r="Q31" s="29"/>
      <c r="R31" t="s">
        <v>36</v>
      </c>
      <c r="S31" s="29">
        <v>114</v>
      </c>
      <c r="T31"/>
      <c r="V31"/>
    </row>
    <row r="32" spans="1:22" x14ac:dyDescent="0.35">
      <c r="A32" t="s">
        <v>266</v>
      </c>
      <c r="B32" s="9">
        <v>1113</v>
      </c>
      <c r="C32" s="9"/>
      <c r="D32" t="s">
        <v>266</v>
      </c>
      <c r="E32" s="9">
        <v>1195</v>
      </c>
      <c r="F32" s="29">
        <v>671</v>
      </c>
      <c r="G32" s="29"/>
      <c r="H32" t="s">
        <v>266</v>
      </c>
      <c r="I32" s="29">
        <v>722</v>
      </c>
      <c r="J32" s="29"/>
      <c r="K32" t="s">
        <v>266</v>
      </c>
      <c r="L32" s="29">
        <v>88</v>
      </c>
      <c r="M32" s="29">
        <v>73</v>
      </c>
      <c r="N32" s="29"/>
      <c r="O32" t="s">
        <v>266</v>
      </c>
      <c r="P32" s="29">
        <v>82</v>
      </c>
      <c r="Q32" s="29"/>
      <c r="R32" t="s">
        <v>266</v>
      </c>
      <c r="S32" s="29">
        <v>927</v>
      </c>
      <c r="T32"/>
      <c r="V32"/>
    </row>
    <row r="33" spans="1:22" x14ac:dyDescent="0.35">
      <c r="A33" t="s">
        <v>267</v>
      </c>
      <c r="B33" s="29">
        <v>413</v>
      </c>
      <c r="C33" s="29"/>
      <c r="D33" t="s">
        <v>267</v>
      </c>
      <c r="E33" s="29">
        <v>404</v>
      </c>
      <c r="F33" s="29">
        <v>423</v>
      </c>
      <c r="G33" s="29"/>
      <c r="H33" t="s">
        <v>267</v>
      </c>
      <c r="I33" s="29">
        <v>426</v>
      </c>
      <c r="J33" s="29"/>
      <c r="K33" t="s">
        <v>267</v>
      </c>
      <c r="L33" s="29">
        <v>774</v>
      </c>
      <c r="M33" s="29">
        <v>737</v>
      </c>
      <c r="N33" s="29"/>
      <c r="O33" t="s">
        <v>267</v>
      </c>
      <c r="P33" s="29">
        <v>795</v>
      </c>
      <c r="Q33" s="29"/>
      <c r="R33" t="s">
        <v>267</v>
      </c>
      <c r="S33" s="29">
        <v>443</v>
      </c>
      <c r="T33"/>
      <c r="V33"/>
    </row>
    <row r="34" spans="1:22" ht="29.25" customHeight="1" x14ac:dyDescent="0.35">
      <c r="A34" t="s">
        <v>268</v>
      </c>
      <c r="B34" s="9">
        <v>1126</v>
      </c>
      <c r="C34" s="9"/>
      <c r="D34" t="s">
        <v>268</v>
      </c>
      <c r="E34" s="9">
        <v>1122</v>
      </c>
      <c r="F34" s="9">
        <v>1121</v>
      </c>
      <c r="G34" s="9"/>
      <c r="H34" t="s">
        <v>268</v>
      </c>
      <c r="I34" s="9">
        <v>1068</v>
      </c>
      <c r="J34" s="9"/>
      <c r="K34" t="s">
        <v>268</v>
      </c>
      <c r="L34" s="29">
        <v>352</v>
      </c>
      <c r="M34" s="29">
        <v>367</v>
      </c>
      <c r="N34" s="29"/>
      <c r="O34" t="s">
        <v>268</v>
      </c>
      <c r="P34" s="29">
        <v>418</v>
      </c>
      <c r="Q34" s="29"/>
      <c r="R34" t="s">
        <v>268</v>
      </c>
      <c r="S34" s="29">
        <v>733</v>
      </c>
      <c r="T34"/>
      <c r="V34"/>
    </row>
    <row r="35" spans="1:22" x14ac:dyDescent="0.35">
      <c r="A35" t="s">
        <v>269</v>
      </c>
      <c r="B35" s="29">
        <v>205</v>
      </c>
      <c r="C35" s="29"/>
      <c r="D35" t="s">
        <v>269</v>
      </c>
      <c r="E35" s="29">
        <v>205</v>
      </c>
      <c r="F35" s="29">
        <v>223</v>
      </c>
      <c r="G35" s="29"/>
      <c r="H35" t="s">
        <v>269</v>
      </c>
      <c r="I35" s="29">
        <v>205</v>
      </c>
      <c r="J35" s="29"/>
      <c r="K35" t="s">
        <v>269</v>
      </c>
      <c r="L35" s="29">
        <v>958</v>
      </c>
      <c r="M35" s="29">
        <v>832</v>
      </c>
      <c r="N35" s="29"/>
      <c r="O35" t="s">
        <v>38</v>
      </c>
      <c r="P35" s="29">
        <v>872</v>
      </c>
      <c r="Q35" s="29"/>
      <c r="R35" t="s">
        <v>38</v>
      </c>
      <c r="S35" s="29">
        <v>69</v>
      </c>
      <c r="T35"/>
      <c r="V35"/>
    </row>
    <row r="36" spans="1:22" x14ac:dyDescent="0.35">
      <c r="A36" t="s">
        <v>270</v>
      </c>
      <c r="B36" s="29">
        <v>254</v>
      </c>
      <c r="C36" s="29"/>
      <c r="D36" t="s">
        <v>270</v>
      </c>
      <c r="E36" s="29">
        <v>274</v>
      </c>
      <c r="F36" s="29">
        <v>260</v>
      </c>
      <c r="G36" s="29"/>
      <c r="H36" t="s">
        <v>270</v>
      </c>
      <c r="I36" s="29">
        <v>225</v>
      </c>
      <c r="J36" s="29"/>
      <c r="K36" t="s">
        <v>270</v>
      </c>
      <c r="L36" s="29">
        <v>411</v>
      </c>
      <c r="M36" s="29">
        <v>388</v>
      </c>
      <c r="N36" s="29"/>
      <c r="O36" t="s">
        <v>37</v>
      </c>
      <c r="P36" s="29">
        <v>46</v>
      </c>
      <c r="Q36" s="29"/>
      <c r="R36" t="s">
        <v>37</v>
      </c>
      <c r="S36" s="29">
        <v>402</v>
      </c>
      <c r="T36"/>
      <c r="V36"/>
    </row>
    <row r="37" spans="1:22" x14ac:dyDescent="0.35">
      <c r="A37" t="s">
        <v>40</v>
      </c>
      <c r="B37" s="29">
        <v>921</v>
      </c>
      <c r="C37" s="29"/>
      <c r="D37" t="s">
        <v>40</v>
      </c>
      <c r="E37" s="29">
        <v>496</v>
      </c>
      <c r="F37" s="29">
        <v>435</v>
      </c>
      <c r="G37" s="29"/>
      <c r="H37" t="s">
        <v>40</v>
      </c>
      <c r="I37" s="29">
        <v>376</v>
      </c>
      <c r="J37" s="29"/>
      <c r="K37" t="s">
        <v>40</v>
      </c>
      <c r="L37" s="29">
        <v>294</v>
      </c>
      <c r="M37" s="29">
        <v>295</v>
      </c>
      <c r="N37" s="29"/>
      <c r="O37" t="s">
        <v>270</v>
      </c>
      <c r="P37" s="29">
        <v>387</v>
      </c>
      <c r="Q37" s="29"/>
      <c r="R37" t="s">
        <v>270</v>
      </c>
      <c r="S37" s="29">
        <v>297</v>
      </c>
      <c r="T37"/>
      <c r="V37"/>
    </row>
    <row r="38" spans="1:22" x14ac:dyDescent="0.35">
      <c r="A38" t="s">
        <v>41</v>
      </c>
      <c r="B38" s="29">
        <v>338</v>
      </c>
      <c r="C38" s="29"/>
      <c r="D38" t="s">
        <v>41</v>
      </c>
      <c r="E38" s="29">
        <v>295</v>
      </c>
      <c r="F38" s="29">
        <v>407</v>
      </c>
      <c r="G38" s="29"/>
      <c r="H38" t="s">
        <v>41</v>
      </c>
      <c r="I38" s="29">
        <v>241</v>
      </c>
      <c r="J38" s="29"/>
      <c r="K38" t="s">
        <v>41</v>
      </c>
      <c r="L38" s="29">
        <v>367</v>
      </c>
      <c r="M38" s="29">
        <v>618</v>
      </c>
      <c r="N38" s="29"/>
      <c r="O38" t="s">
        <v>40</v>
      </c>
      <c r="P38" s="29">
        <v>313</v>
      </c>
      <c r="Q38" s="29"/>
      <c r="R38" t="s">
        <v>40</v>
      </c>
      <c r="S38" s="29">
        <v>887</v>
      </c>
      <c r="T38"/>
      <c r="V38"/>
    </row>
    <row r="39" spans="1:22" x14ac:dyDescent="0.35">
      <c r="A39" t="s">
        <v>42</v>
      </c>
      <c r="B39" s="29">
        <v>571</v>
      </c>
      <c r="C39" s="29"/>
      <c r="D39" t="s">
        <v>42</v>
      </c>
      <c r="E39" s="29">
        <v>578</v>
      </c>
      <c r="F39" s="29">
        <v>511</v>
      </c>
      <c r="G39" s="29"/>
      <c r="H39" t="s">
        <v>42</v>
      </c>
      <c r="I39" s="29">
        <v>426</v>
      </c>
      <c r="J39" s="29"/>
      <c r="K39" t="s">
        <v>42</v>
      </c>
      <c r="L39" s="29">
        <v>290</v>
      </c>
      <c r="M39" s="29">
        <v>332</v>
      </c>
      <c r="N39" s="29"/>
      <c r="O39" t="s">
        <v>41</v>
      </c>
      <c r="P39" s="29">
        <v>925</v>
      </c>
      <c r="Q39" s="29"/>
      <c r="R39" t="s">
        <v>41</v>
      </c>
      <c r="S39" s="29">
        <v>375</v>
      </c>
      <c r="T39"/>
      <c r="V39"/>
    </row>
    <row r="40" spans="1:22" ht="36" customHeight="1" x14ac:dyDescent="0.35">
      <c r="A40" s="62" t="s">
        <v>271</v>
      </c>
      <c r="B40" s="29">
        <v>322</v>
      </c>
      <c r="C40" s="29"/>
      <c r="D40" s="62" t="s">
        <v>271</v>
      </c>
      <c r="E40" s="29">
        <v>402</v>
      </c>
      <c r="F40" s="29">
        <v>376</v>
      </c>
      <c r="G40" s="29"/>
      <c r="H40" s="62" t="s">
        <v>271</v>
      </c>
      <c r="I40" s="29">
        <v>495</v>
      </c>
      <c r="J40" s="29"/>
      <c r="K40" s="62" t="s">
        <v>271</v>
      </c>
      <c r="L40" s="29">
        <v>453</v>
      </c>
      <c r="M40" s="29">
        <v>446</v>
      </c>
      <c r="N40" s="29"/>
      <c r="O40" s="5" t="s">
        <v>42</v>
      </c>
      <c r="P40" s="29">
        <v>333</v>
      </c>
      <c r="Q40" s="29"/>
      <c r="R40" s="5" t="s">
        <v>42</v>
      </c>
      <c r="S40" s="29">
        <v>502</v>
      </c>
      <c r="T40"/>
      <c r="V40"/>
    </row>
    <row r="41" spans="1:22" ht="16.5" customHeight="1" x14ac:dyDescent="0.35">
      <c r="A41" t="s">
        <v>44</v>
      </c>
      <c r="B41" s="29">
        <v>555</v>
      </c>
      <c r="C41" s="29"/>
      <c r="D41" t="s">
        <v>44</v>
      </c>
      <c r="E41" s="29">
        <v>632</v>
      </c>
      <c r="F41" s="29">
        <v>619</v>
      </c>
      <c r="G41" s="29"/>
      <c r="H41" t="s">
        <v>44</v>
      </c>
      <c r="I41" s="29">
        <v>587</v>
      </c>
      <c r="J41" s="29"/>
      <c r="K41" s="5" t="s">
        <v>44</v>
      </c>
      <c r="L41" s="29">
        <v>502</v>
      </c>
      <c r="M41" s="29">
        <v>454</v>
      </c>
      <c r="N41" s="29"/>
      <c r="O41" s="62" t="s">
        <v>271</v>
      </c>
      <c r="P41" s="29">
        <v>429</v>
      </c>
      <c r="Q41" s="29"/>
      <c r="R41" s="62" t="s">
        <v>271</v>
      </c>
      <c r="S41" s="29">
        <v>557</v>
      </c>
      <c r="T41"/>
      <c r="V41"/>
    </row>
    <row r="42" spans="1:22" x14ac:dyDescent="0.35">
      <c r="A42" t="s">
        <v>272</v>
      </c>
      <c r="B42" s="9">
        <v>1201</v>
      </c>
      <c r="C42" s="9"/>
      <c r="D42" t="s">
        <v>272</v>
      </c>
      <c r="E42" s="9">
        <v>1204</v>
      </c>
      <c r="F42" s="29">
        <v>878</v>
      </c>
      <c r="G42" s="29"/>
      <c r="H42" t="s">
        <v>272</v>
      </c>
      <c r="I42" s="29">
        <v>865</v>
      </c>
      <c r="J42" s="29"/>
      <c r="K42" t="s">
        <v>272</v>
      </c>
      <c r="L42" s="29">
        <v>705</v>
      </c>
      <c r="M42" s="29">
        <v>757</v>
      </c>
      <c r="N42" s="29"/>
      <c r="O42" t="s">
        <v>44</v>
      </c>
      <c r="P42" s="29">
        <v>580</v>
      </c>
      <c r="Q42" s="29"/>
      <c r="R42" t="s">
        <v>44</v>
      </c>
      <c r="S42" s="29">
        <v>720</v>
      </c>
      <c r="T42"/>
      <c r="V42"/>
    </row>
    <row r="43" spans="1:22" x14ac:dyDescent="0.35">
      <c r="A43" t="s">
        <v>273</v>
      </c>
      <c r="B43" s="29">
        <v>430</v>
      </c>
      <c r="C43" s="29"/>
      <c r="D43" t="s">
        <v>273</v>
      </c>
      <c r="E43" s="29">
        <v>588</v>
      </c>
      <c r="F43" s="29">
        <v>467</v>
      </c>
      <c r="G43" s="29"/>
      <c r="H43" t="s">
        <v>273</v>
      </c>
      <c r="I43" s="29">
        <v>389</v>
      </c>
      <c r="J43" s="29"/>
      <c r="K43" t="s">
        <v>273</v>
      </c>
      <c r="L43" s="9">
        <v>1056</v>
      </c>
      <c r="M43" s="9">
        <v>1048</v>
      </c>
      <c r="N43" s="9"/>
      <c r="O43" t="s">
        <v>272</v>
      </c>
      <c r="P43" s="29">
        <v>739</v>
      </c>
      <c r="Q43" s="29"/>
      <c r="R43" t="s">
        <v>272</v>
      </c>
      <c r="S43" s="9">
        <v>1140</v>
      </c>
      <c r="T43"/>
      <c r="V43"/>
    </row>
    <row r="44" spans="1:22" x14ac:dyDescent="0.35">
      <c r="A44" t="s">
        <v>274</v>
      </c>
      <c r="B44" s="29">
        <v>453</v>
      </c>
      <c r="C44" s="29"/>
      <c r="D44" t="s">
        <v>274</v>
      </c>
      <c r="E44" s="29">
        <v>447</v>
      </c>
      <c r="F44" s="29">
        <v>465</v>
      </c>
      <c r="G44" s="29"/>
      <c r="H44" t="s">
        <v>274</v>
      </c>
      <c r="I44" s="29">
        <v>445</v>
      </c>
      <c r="J44" s="29"/>
      <c r="K44" t="s">
        <v>274</v>
      </c>
      <c r="L44" s="29">
        <v>531</v>
      </c>
      <c r="M44" s="29">
        <v>539</v>
      </c>
      <c r="N44" s="29"/>
      <c r="O44" t="s">
        <v>273</v>
      </c>
      <c r="P44" s="9">
        <v>1217</v>
      </c>
      <c r="Q44" s="9"/>
      <c r="R44" t="s">
        <v>273</v>
      </c>
      <c r="S44" s="29">
        <v>440</v>
      </c>
      <c r="T44"/>
      <c r="V44"/>
    </row>
    <row r="45" spans="1:22" x14ac:dyDescent="0.35">
      <c r="A45" t="s">
        <v>283</v>
      </c>
      <c r="B45" s="29">
        <v>41</v>
      </c>
      <c r="C45" s="29"/>
      <c r="D45" t="s">
        <v>283</v>
      </c>
      <c r="E45" s="29">
        <v>53</v>
      </c>
      <c r="F45" s="29">
        <v>58</v>
      </c>
      <c r="G45" s="29"/>
      <c r="H45" t="s">
        <v>283</v>
      </c>
      <c r="I45" s="29">
        <v>33</v>
      </c>
      <c r="J45" s="29"/>
      <c r="K45" t="s">
        <v>283</v>
      </c>
      <c r="L45" s="29">
        <v>456</v>
      </c>
      <c r="M45" s="29">
        <v>475</v>
      </c>
      <c r="N45" s="29"/>
      <c r="O45" t="s">
        <v>274</v>
      </c>
      <c r="P45" s="29">
        <v>464</v>
      </c>
      <c r="Q45" s="29"/>
      <c r="R45" t="s">
        <v>274</v>
      </c>
      <c r="S45" s="29">
        <v>538</v>
      </c>
      <c r="T45"/>
      <c r="V45"/>
    </row>
    <row r="46" spans="1:22" x14ac:dyDescent="0.35">
      <c r="A46" t="s">
        <v>275</v>
      </c>
      <c r="B46" s="29">
        <v>524</v>
      </c>
      <c r="C46" s="29"/>
      <c r="D46" t="s">
        <v>275</v>
      </c>
      <c r="E46" s="29">
        <v>506</v>
      </c>
      <c r="F46" s="29">
        <v>503</v>
      </c>
      <c r="G46" s="29"/>
      <c r="H46" t="s">
        <v>275</v>
      </c>
      <c r="I46" s="29">
        <v>537</v>
      </c>
      <c r="J46" s="29"/>
      <c r="K46" t="s">
        <v>275</v>
      </c>
      <c r="L46" s="29">
        <v>41</v>
      </c>
      <c r="M46" s="29">
        <v>37</v>
      </c>
      <c r="N46" s="29"/>
      <c r="O46" t="s">
        <v>283</v>
      </c>
      <c r="P46" s="29">
        <v>437</v>
      </c>
      <c r="Q46" s="29"/>
      <c r="R46" t="s">
        <v>283</v>
      </c>
      <c r="S46" s="29">
        <v>57</v>
      </c>
      <c r="T46"/>
      <c r="V46"/>
    </row>
    <row r="47" spans="1:22" ht="33" customHeight="1" x14ac:dyDescent="0.35">
      <c r="A47" s="61" t="s">
        <v>311</v>
      </c>
      <c r="B47" s="29">
        <v>36</v>
      </c>
      <c r="C47" s="29"/>
      <c r="D47" s="61" t="s">
        <v>284</v>
      </c>
      <c r="E47" s="29">
        <v>29</v>
      </c>
      <c r="F47" s="29">
        <v>34</v>
      </c>
      <c r="G47" s="29"/>
      <c r="H47" s="61" t="s">
        <v>284</v>
      </c>
      <c r="I47" s="29">
        <v>30</v>
      </c>
      <c r="J47" s="29"/>
      <c r="K47" s="61" t="s">
        <v>284</v>
      </c>
      <c r="L47" s="29">
        <v>565</v>
      </c>
      <c r="M47" s="29">
        <v>637</v>
      </c>
      <c r="N47" s="29"/>
      <c r="O47" t="s">
        <v>275</v>
      </c>
      <c r="P47" s="29">
        <v>48</v>
      </c>
      <c r="Q47" s="29"/>
      <c r="R47" t="s">
        <v>275</v>
      </c>
      <c r="S47" s="29">
        <v>714</v>
      </c>
      <c r="T47"/>
      <c r="V47"/>
    </row>
    <row r="48" spans="1:22" x14ac:dyDescent="0.35">
      <c r="A48" t="s">
        <v>285</v>
      </c>
      <c r="B48" s="29">
        <v>126</v>
      </c>
      <c r="C48" s="29"/>
      <c r="D48" t="s">
        <v>285</v>
      </c>
      <c r="E48" s="29">
        <v>102</v>
      </c>
      <c r="F48" s="29">
        <v>112</v>
      </c>
      <c r="G48" s="29"/>
      <c r="H48" t="s">
        <v>196</v>
      </c>
      <c r="I48" s="29">
        <v>41</v>
      </c>
      <c r="J48" s="29"/>
      <c r="K48" t="s">
        <v>196</v>
      </c>
      <c r="L48" s="29">
        <v>22</v>
      </c>
      <c r="M48" s="29">
        <v>42</v>
      </c>
      <c r="N48" s="29"/>
      <c r="O48" t="s">
        <v>284</v>
      </c>
      <c r="P48" s="29">
        <v>714</v>
      </c>
      <c r="Q48" s="29"/>
      <c r="R48" t="s">
        <v>284</v>
      </c>
      <c r="S48" s="29">
        <v>17</v>
      </c>
      <c r="T48"/>
      <c r="V48"/>
    </row>
    <row r="49" spans="1:22" x14ac:dyDescent="0.35">
      <c r="A49" t="s">
        <v>47</v>
      </c>
      <c r="B49" s="29">
        <v>400</v>
      </c>
      <c r="C49" s="29"/>
      <c r="D49" t="s">
        <v>47</v>
      </c>
      <c r="E49" s="29">
        <v>405</v>
      </c>
      <c r="F49" s="29">
        <v>445</v>
      </c>
      <c r="G49" s="29"/>
      <c r="H49" t="s">
        <v>285</v>
      </c>
      <c r="I49" s="29">
        <v>120</v>
      </c>
      <c r="J49" s="29"/>
      <c r="K49" t="s">
        <v>285</v>
      </c>
      <c r="L49" s="29">
        <v>58</v>
      </c>
      <c r="M49" s="29">
        <v>122</v>
      </c>
      <c r="N49" s="29"/>
      <c r="O49" t="s">
        <v>196</v>
      </c>
      <c r="P49" s="29">
        <v>20</v>
      </c>
      <c r="Q49" s="29"/>
      <c r="R49" t="s">
        <v>196</v>
      </c>
      <c r="S49" s="29">
        <v>69</v>
      </c>
      <c r="T49"/>
      <c r="V49"/>
    </row>
    <row r="50" spans="1:22" x14ac:dyDescent="0.35">
      <c r="A50" t="s">
        <v>276</v>
      </c>
      <c r="B50" s="29">
        <v>273</v>
      </c>
      <c r="C50" s="29"/>
      <c r="D50" t="s">
        <v>276</v>
      </c>
      <c r="E50" s="29">
        <v>250</v>
      </c>
      <c r="F50" s="29">
        <v>265</v>
      </c>
      <c r="G50" s="29"/>
      <c r="H50" t="s">
        <v>47</v>
      </c>
      <c r="I50" s="29">
        <v>411</v>
      </c>
      <c r="J50" s="29"/>
      <c r="K50" t="s">
        <v>47</v>
      </c>
      <c r="L50" s="29">
        <v>112</v>
      </c>
      <c r="M50" s="29">
        <v>82</v>
      </c>
      <c r="N50" s="29"/>
      <c r="O50" t="s">
        <v>285</v>
      </c>
      <c r="P50" s="29">
        <v>78</v>
      </c>
      <c r="Q50" s="29"/>
      <c r="R50" t="s">
        <v>285</v>
      </c>
      <c r="S50" s="29">
        <v>87</v>
      </c>
      <c r="T50"/>
      <c r="V50"/>
    </row>
    <row r="51" spans="1:22" x14ac:dyDescent="0.35">
      <c r="A51" t="s">
        <v>277</v>
      </c>
      <c r="B51" s="29">
        <v>138</v>
      </c>
      <c r="C51" s="29"/>
      <c r="D51" t="s">
        <v>277</v>
      </c>
      <c r="E51" s="29">
        <v>262</v>
      </c>
      <c r="F51" s="29">
        <v>310</v>
      </c>
      <c r="G51" s="29"/>
      <c r="H51" t="s">
        <v>276</v>
      </c>
      <c r="I51" s="29">
        <v>240</v>
      </c>
      <c r="J51" s="29"/>
      <c r="K51" t="s">
        <v>276</v>
      </c>
      <c r="L51" s="29">
        <v>504</v>
      </c>
      <c r="M51" s="29">
        <v>847</v>
      </c>
      <c r="N51" s="29"/>
      <c r="O51" t="s">
        <v>47</v>
      </c>
      <c r="P51" s="29">
        <v>66</v>
      </c>
      <c r="Q51" s="29"/>
      <c r="R51" t="s">
        <v>47</v>
      </c>
      <c r="S51" s="29">
        <v>729</v>
      </c>
      <c r="T51"/>
      <c r="V51"/>
    </row>
    <row r="52" spans="1:22" x14ac:dyDescent="0.35">
      <c r="A52" t="s">
        <v>49</v>
      </c>
      <c r="B52" s="29">
        <v>275</v>
      </c>
      <c r="C52" s="29"/>
      <c r="D52" t="s">
        <v>49</v>
      </c>
      <c r="E52" s="29">
        <v>287</v>
      </c>
      <c r="F52" s="29">
        <v>263</v>
      </c>
      <c r="G52" s="29"/>
      <c r="H52" t="s">
        <v>277</v>
      </c>
      <c r="I52" s="29">
        <v>263</v>
      </c>
      <c r="J52" s="29"/>
      <c r="K52" t="s">
        <v>277</v>
      </c>
      <c r="L52" s="29">
        <v>210</v>
      </c>
      <c r="M52" s="29">
        <v>207</v>
      </c>
      <c r="N52" s="29"/>
      <c r="O52" t="s">
        <v>276</v>
      </c>
      <c r="P52" s="9">
        <v>1011</v>
      </c>
      <c r="Q52" s="9"/>
      <c r="R52" t="s">
        <v>276</v>
      </c>
      <c r="S52" s="29">
        <v>237</v>
      </c>
      <c r="T52"/>
      <c r="V52"/>
    </row>
    <row r="53" spans="1:22" x14ac:dyDescent="0.35">
      <c r="A53" t="s">
        <v>50</v>
      </c>
      <c r="B53" s="29">
        <v>53</v>
      </c>
      <c r="C53" s="29"/>
      <c r="D53" t="s">
        <v>50</v>
      </c>
      <c r="E53" s="29">
        <v>58</v>
      </c>
      <c r="F53" s="29">
        <v>43</v>
      </c>
      <c r="G53" s="29"/>
      <c r="H53" t="s">
        <v>49</v>
      </c>
      <c r="I53" s="29">
        <v>228</v>
      </c>
      <c r="J53" s="29"/>
      <c r="K53" t="s">
        <v>49</v>
      </c>
      <c r="L53" s="29">
        <v>249</v>
      </c>
      <c r="M53" s="29">
        <v>259</v>
      </c>
      <c r="N53" s="29"/>
      <c r="O53" t="s">
        <v>277</v>
      </c>
      <c r="P53" s="29">
        <v>204</v>
      </c>
      <c r="Q53" s="29"/>
      <c r="R53" t="s">
        <v>277</v>
      </c>
      <c r="S53" s="29">
        <v>351</v>
      </c>
      <c r="T53"/>
      <c r="V53"/>
    </row>
    <row r="54" spans="1:22" x14ac:dyDescent="0.35">
      <c r="A54" t="s">
        <v>51</v>
      </c>
      <c r="B54" s="9">
        <v>1585</v>
      </c>
      <c r="C54" s="9"/>
      <c r="D54" t="s">
        <v>51</v>
      </c>
      <c r="E54" s="9">
        <v>1222</v>
      </c>
      <c r="F54" s="9">
        <v>1209</v>
      </c>
      <c r="G54" s="9"/>
      <c r="H54" t="s">
        <v>50</v>
      </c>
      <c r="I54" s="29">
        <v>65</v>
      </c>
      <c r="J54" s="29"/>
      <c r="K54" t="s">
        <v>50</v>
      </c>
      <c r="L54" s="29">
        <v>307</v>
      </c>
      <c r="M54" s="29">
        <v>250</v>
      </c>
      <c r="N54" s="29"/>
      <c r="O54" t="s">
        <v>49</v>
      </c>
      <c r="P54" s="29">
        <v>261</v>
      </c>
      <c r="Q54" s="29"/>
      <c r="R54" t="s">
        <v>49</v>
      </c>
      <c r="S54" s="29">
        <v>329</v>
      </c>
      <c r="T54"/>
      <c r="V54"/>
    </row>
    <row r="55" spans="1:22" x14ac:dyDescent="0.35">
      <c r="A55" t="s">
        <v>52</v>
      </c>
      <c r="B55" s="29">
        <v>449</v>
      </c>
      <c r="C55" s="29"/>
      <c r="D55" t="s">
        <v>52</v>
      </c>
      <c r="E55" s="29">
        <v>366</v>
      </c>
      <c r="F55" s="29">
        <v>291</v>
      </c>
      <c r="G55" s="29"/>
      <c r="H55" t="s">
        <v>51</v>
      </c>
      <c r="I55" s="9">
        <v>1252</v>
      </c>
      <c r="J55" s="9"/>
      <c r="K55" t="s">
        <v>51</v>
      </c>
      <c r="L55" s="29">
        <v>62</v>
      </c>
      <c r="M55" s="29">
        <v>62</v>
      </c>
      <c r="N55" s="29"/>
      <c r="O55" t="s">
        <v>50</v>
      </c>
      <c r="P55" s="29">
        <v>244</v>
      </c>
      <c r="Q55" s="29"/>
      <c r="R55" t="s">
        <v>50</v>
      </c>
      <c r="S55" s="29">
        <v>70</v>
      </c>
      <c r="T55"/>
      <c r="V55"/>
    </row>
    <row r="56" spans="1:22" x14ac:dyDescent="0.35">
      <c r="A56" t="s">
        <v>53</v>
      </c>
      <c r="B56" s="29">
        <v>164</v>
      </c>
      <c r="C56" s="29"/>
      <c r="D56" t="s">
        <v>53</v>
      </c>
      <c r="E56" s="29">
        <v>155</v>
      </c>
      <c r="F56" s="29">
        <v>147</v>
      </c>
      <c r="G56" s="29"/>
      <c r="H56" t="s">
        <v>52</v>
      </c>
      <c r="I56" s="29">
        <v>308</v>
      </c>
      <c r="J56" s="29"/>
      <c r="K56" t="s">
        <v>52</v>
      </c>
      <c r="L56" s="9">
        <v>1383</v>
      </c>
      <c r="M56" s="9">
        <v>1348</v>
      </c>
      <c r="N56" s="9"/>
      <c r="O56" t="s">
        <v>51</v>
      </c>
      <c r="P56" s="29">
        <v>53</v>
      </c>
      <c r="Q56" s="29"/>
      <c r="R56" t="s">
        <v>51</v>
      </c>
      <c r="S56" s="9">
        <v>2090</v>
      </c>
      <c r="T56"/>
      <c r="V56"/>
    </row>
    <row r="57" spans="1:22" x14ac:dyDescent="0.35">
      <c r="A57" t="s">
        <v>54</v>
      </c>
      <c r="B57" s="29">
        <v>202</v>
      </c>
      <c r="C57" s="29"/>
      <c r="D57" t="s">
        <v>54</v>
      </c>
      <c r="E57" s="29">
        <v>216</v>
      </c>
      <c r="F57" s="29">
        <v>205</v>
      </c>
      <c r="G57" s="29"/>
      <c r="H57" t="s">
        <v>53</v>
      </c>
      <c r="I57" s="29">
        <v>128</v>
      </c>
      <c r="J57" s="29"/>
      <c r="K57" t="s">
        <v>53</v>
      </c>
      <c r="L57" s="29">
        <v>346</v>
      </c>
      <c r="M57" s="29">
        <v>312</v>
      </c>
      <c r="N57" s="29"/>
      <c r="O57" t="s">
        <v>52</v>
      </c>
      <c r="P57" s="9">
        <v>1694</v>
      </c>
      <c r="Q57" s="9"/>
      <c r="R57" t="s">
        <v>52</v>
      </c>
      <c r="S57" s="29">
        <v>347</v>
      </c>
      <c r="T57"/>
      <c r="V57"/>
    </row>
    <row r="58" spans="1:22" x14ac:dyDescent="0.35">
      <c r="A58" t="s">
        <v>278</v>
      </c>
      <c r="B58" s="29">
        <v>317</v>
      </c>
      <c r="C58" s="29"/>
      <c r="D58" t="s">
        <v>278</v>
      </c>
      <c r="E58" s="29">
        <v>304</v>
      </c>
      <c r="F58" s="29">
        <v>296</v>
      </c>
      <c r="G58" s="29"/>
      <c r="H58" t="s">
        <v>54</v>
      </c>
      <c r="I58" s="29">
        <v>178</v>
      </c>
      <c r="J58" s="29"/>
      <c r="K58" t="s">
        <v>54</v>
      </c>
      <c r="L58" s="29">
        <v>70</v>
      </c>
      <c r="M58" s="29">
        <v>128</v>
      </c>
      <c r="N58" s="29"/>
      <c r="O58" t="s">
        <v>53</v>
      </c>
      <c r="P58" s="29">
        <v>313</v>
      </c>
      <c r="Q58" s="29"/>
      <c r="R58" t="s">
        <v>53</v>
      </c>
      <c r="S58" s="29">
        <v>181</v>
      </c>
      <c r="T58"/>
      <c r="V58"/>
    </row>
    <row r="59" spans="1:22" x14ac:dyDescent="0.35">
      <c r="A59" t="s">
        <v>4</v>
      </c>
      <c r="B59" s="29">
        <v>124</v>
      </c>
      <c r="C59" s="29"/>
      <c r="D59" t="s">
        <v>4</v>
      </c>
      <c r="E59" s="29">
        <v>162</v>
      </c>
      <c r="F59" s="29">
        <v>155</v>
      </c>
      <c r="G59" s="29"/>
      <c r="H59" t="s">
        <v>278</v>
      </c>
      <c r="I59" s="29">
        <v>277</v>
      </c>
      <c r="J59" s="29"/>
      <c r="K59" t="s">
        <v>55</v>
      </c>
      <c r="L59" s="29">
        <v>210</v>
      </c>
      <c r="M59" s="29">
        <v>175</v>
      </c>
      <c r="N59" s="29"/>
      <c r="O59" t="s">
        <v>54</v>
      </c>
      <c r="P59" s="29">
        <v>136</v>
      </c>
      <c r="Q59" s="29"/>
      <c r="R59" t="s">
        <v>54</v>
      </c>
      <c r="S59" s="29">
        <v>204</v>
      </c>
      <c r="T59"/>
      <c r="V59"/>
    </row>
    <row r="60" spans="1:22" x14ac:dyDescent="0.35">
      <c r="A60" t="s">
        <v>286</v>
      </c>
      <c r="B60" s="29">
        <v>59</v>
      </c>
      <c r="C60" s="29"/>
      <c r="D60" t="s">
        <v>286</v>
      </c>
      <c r="E60" s="29">
        <v>51</v>
      </c>
      <c r="F60" s="29">
        <v>54</v>
      </c>
      <c r="G60" s="29"/>
      <c r="H60"/>
      <c r="I60" s="29">
        <v>134</v>
      </c>
      <c r="J60" s="29"/>
      <c r="K60" t="s">
        <v>278</v>
      </c>
      <c r="L60" s="29">
        <v>295</v>
      </c>
      <c r="M60" s="29">
        <v>290</v>
      </c>
      <c r="N60" s="29"/>
      <c r="O60" t="s">
        <v>55</v>
      </c>
      <c r="P60" s="29">
        <v>206</v>
      </c>
      <c r="Q60" s="29"/>
      <c r="R60" t="s">
        <v>55</v>
      </c>
      <c r="S60" s="29">
        <v>254</v>
      </c>
      <c r="T60"/>
      <c r="V60"/>
    </row>
    <row r="61" spans="1:22" x14ac:dyDescent="0.35">
      <c r="A61" t="s">
        <v>291</v>
      </c>
      <c r="B61" s="29">
        <v>594</v>
      </c>
      <c r="C61" s="29"/>
      <c r="D61" t="s">
        <v>291</v>
      </c>
      <c r="E61" s="29">
        <v>593</v>
      </c>
      <c r="F61" s="29">
        <v>749</v>
      </c>
      <c r="G61" s="29"/>
      <c r="H61" t="s">
        <v>286</v>
      </c>
      <c r="I61" s="29">
        <v>57</v>
      </c>
      <c r="J61" s="29"/>
      <c r="L61" s="29">
        <v>167</v>
      </c>
      <c r="M61" s="29">
        <v>160</v>
      </c>
      <c r="N61" s="29"/>
      <c r="O61" t="s">
        <v>278</v>
      </c>
      <c r="P61" s="29">
        <v>301</v>
      </c>
      <c r="Q61" s="29"/>
      <c r="R61" t="s">
        <v>278</v>
      </c>
      <c r="S61" s="29">
        <v>176</v>
      </c>
      <c r="T61"/>
      <c r="V61"/>
    </row>
    <row r="62" spans="1:22" x14ac:dyDescent="0.35">
      <c r="A62" t="s">
        <v>13</v>
      </c>
      <c r="B62" s="29">
        <v>528</v>
      </c>
      <c r="C62" s="29"/>
      <c r="D62" t="s">
        <v>13</v>
      </c>
      <c r="E62" s="29">
        <v>281</v>
      </c>
      <c r="F62" s="29">
        <v>362</v>
      </c>
      <c r="G62" s="29"/>
      <c r="H62" t="s">
        <v>291</v>
      </c>
      <c r="I62" s="29">
        <v>645</v>
      </c>
      <c r="J62" s="29"/>
      <c r="K62" t="s">
        <v>286</v>
      </c>
      <c r="L62" s="29">
        <v>59</v>
      </c>
      <c r="M62" s="29">
        <v>62</v>
      </c>
      <c r="N62" s="29"/>
      <c r="O62"/>
      <c r="P62" s="29">
        <v>141</v>
      </c>
      <c r="Q62" s="29"/>
      <c r="R62" t="s">
        <v>286</v>
      </c>
      <c r="S62" s="29">
        <v>53</v>
      </c>
      <c r="T62"/>
      <c r="V62"/>
    </row>
    <row r="63" spans="1:22" ht="31" x14ac:dyDescent="0.35">
      <c r="A63" s="61" t="s">
        <v>287</v>
      </c>
      <c r="B63" s="29">
        <v>284</v>
      </c>
      <c r="C63" s="29"/>
      <c r="D63" s="61" t="s">
        <v>287</v>
      </c>
      <c r="E63" s="29">
        <v>204</v>
      </c>
      <c r="F63" s="29">
        <v>64</v>
      </c>
      <c r="G63" s="29"/>
      <c r="H63" t="s">
        <v>13</v>
      </c>
      <c r="I63" s="29">
        <v>350</v>
      </c>
      <c r="J63" s="29"/>
      <c r="K63" s="5" t="s">
        <v>291</v>
      </c>
      <c r="L63" s="29">
        <v>556</v>
      </c>
      <c r="M63" s="29">
        <v>635</v>
      </c>
      <c r="N63" s="29"/>
      <c r="O63" s="5" t="s">
        <v>286</v>
      </c>
      <c r="P63" s="29">
        <v>48</v>
      </c>
      <c r="Q63" s="29"/>
      <c r="R63" s="5" t="s">
        <v>291</v>
      </c>
      <c r="S63" s="29">
        <v>649</v>
      </c>
      <c r="T63"/>
      <c r="V63"/>
    </row>
    <row r="64" spans="1:22" ht="32.25" customHeight="1" x14ac:dyDescent="0.35">
      <c r="A64" s="61" t="s">
        <v>288</v>
      </c>
      <c r="B64" s="29">
        <v>51</v>
      </c>
      <c r="C64" s="29"/>
      <c r="D64" s="61" t="s">
        <v>288</v>
      </c>
      <c r="E64" s="29">
        <v>54</v>
      </c>
      <c r="F64" s="29">
        <v>35</v>
      </c>
      <c r="G64" s="29"/>
      <c r="H64" s="61" t="s">
        <v>287</v>
      </c>
      <c r="I64" s="29">
        <v>51</v>
      </c>
      <c r="J64" s="29"/>
      <c r="K64" s="5" t="s">
        <v>13</v>
      </c>
      <c r="L64" s="29">
        <v>367</v>
      </c>
      <c r="M64" s="29">
        <v>376</v>
      </c>
      <c r="N64" s="29"/>
      <c r="O64" s="5" t="s">
        <v>291</v>
      </c>
      <c r="P64" s="29">
        <v>512</v>
      </c>
      <c r="Q64" s="29"/>
      <c r="R64" s="5" t="s">
        <v>13</v>
      </c>
      <c r="S64" s="29">
        <v>338</v>
      </c>
      <c r="T64"/>
      <c r="V64"/>
    </row>
    <row r="65" spans="1:22" ht="31.5" customHeight="1" x14ac:dyDescent="0.35">
      <c r="A65" s="61" t="s">
        <v>289</v>
      </c>
      <c r="B65" s="29">
        <v>6</v>
      </c>
      <c r="C65" s="29"/>
      <c r="D65" s="61" t="s">
        <v>289</v>
      </c>
      <c r="E65" s="29">
        <v>8</v>
      </c>
      <c r="F65" s="29">
        <v>7</v>
      </c>
      <c r="G65" s="29"/>
      <c r="H65" s="61" t="s">
        <v>288</v>
      </c>
      <c r="I65" s="29">
        <v>44</v>
      </c>
      <c r="J65" s="29"/>
      <c r="K65" s="62" t="s">
        <v>287</v>
      </c>
      <c r="L65" s="29">
        <v>81</v>
      </c>
      <c r="M65" s="29">
        <v>108</v>
      </c>
      <c r="N65" s="29"/>
      <c r="O65" s="5" t="s">
        <v>13</v>
      </c>
      <c r="P65" s="29">
        <v>286</v>
      </c>
      <c r="Q65" s="29"/>
      <c r="R65" s="61" t="s">
        <v>287</v>
      </c>
      <c r="S65" s="29">
        <v>141</v>
      </c>
      <c r="T65"/>
      <c r="V65"/>
    </row>
    <row r="66" spans="1:22" ht="16.5" customHeight="1" x14ac:dyDescent="0.35">
      <c r="A66" s="61" t="s">
        <v>290</v>
      </c>
      <c r="B66" s="29">
        <v>325</v>
      </c>
      <c r="C66" s="29"/>
      <c r="D66" s="61" t="s">
        <v>290</v>
      </c>
      <c r="E66" s="29">
        <v>212</v>
      </c>
      <c r="F66" s="29">
        <v>218</v>
      </c>
      <c r="G66" s="29"/>
      <c r="H66" s="61" t="s">
        <v>289</v>
      </c>
      <c r="I66" s="29">
        <v>563</v>
      </c>
      <c r="J66" s="29"/>
      <c r="K66" s="62" t="s">
        <v>288</v>
      </c>
      <c r="L66" s="29">
        <v>48</v>
      </c>
      <c r="M66" s="29">
        <v>47</v>
      </c>
      <c r="N66" s="29"/>
      <c r="O66" s="61" t="s">
        <v>287</v>
      </c>
      <c r="P66" s="29">
        <v>105</v>
      </c>
      <c r="Q66" s="29"/>
      <c r="R66" s="61" t="s">
        <v>288</v>
      </c>
      <c r="S66" s="29">
        <v>85</v>
      </c>
      <c r="T66"/>
      <c r="V66"/>
    </row>
    <row r="67" spans="1:22" ht="30.75" customHeight="1" x14ac:dyDescent="0.35">
      <c r="A67" s="61" t="s">
        <v>62</v>
      </c>
      <c r="B67" s="29">
        <v>61</v>
      </c>
      <c r="C67" s="29"/>
      <c r="D67" s="61" t="s">
        <v>62</v>
      </c>
      <c r="E67" s="29">
        <v>36</v>
      </c>
      <c r="F67" s="29">
        <v>23</v>
      </c>
      <c r="G67" s="29"/>
      <c r="H67" s="63" t="s">
        <v>290</v>
      </c>
      <c r="I67" s="29">
        <v>227</v>
      </c>
      <c r="J67" s="29"/>
      <c r="K67" s="62" t="s">
        <v>289</v>
      </c>
      <c r="L67" s="29">
        <v>399</v>
      </c>
      <c r="M67" s="29">
        <v>728</v>
      </c>
      <c r="N67" s="29"/>
      <c r="O67" s="61" t="s">
        <v>288</v>
      </c>
      <c r="P67" s="29">
        <v>70</v>
      </c>
      <c r="Q67" s="29"/>
      <c r="R67" t="s">
        <v>60</v>
      </c>
      <c r="S67" s="9">
        <v>1341</v>
      </c>
      <c r="T67"/>
      <c r="V67"/>
    </row>
    <row r="68" spans="1:22" ht="28.5" customHeight="1" x14ac:dyDescent="0.35">
      <c r="B68" s="8"/>
      <c r="C68" s="8"/>
      <c r="G68" s="8"/>
      <c r="H68" s="61" t="s">
        <v>62</v>
      </c>
      <c r="I68" s="29">
        <v>30</v>
      </c>
      <c r="J68" s="29"/>
      <c r="K68" s="62" t="s">
        <v>290</v>
      </c>
      <c r="L68" s="29">
        <v>353</v>
      </c>
      <c r="M68" s="29">
        <v>409</v>
      </c>
      <c r="N68" s="29"/>
      <c r="O68" s="62" t="s">
        <v>60</v>
      </c>
      <c r="P68" s="9">
        <v>1089</v>
      </c>
      <c r="Q68" s="9"/>
      <c r="R68" s="5" t="s">
        <v>290</v>
      </c>
      <c r="S68" s="29">
        <v>117</v>
      </c>
      <c r="T68"/>
      <c r="V68"/>
    </row>
    <row r="69" spans="1:22" ht="34.5" customHeight="1" x14ac:dyDescent="0.35">
      <c r="B69" s="8"/>
      <c r="C69" s="8"/>
      <c r="G69" s="8"/>
      <c r="H69"/>
      <c r="K69" s="62" t="s">
        <v>62</v>
      </c>
      <c r="L69" s="29">
        <v>23</v>
      </c>
      <c r="M69" s="29">
        <v>30</v>
      </c>
      <c r="N69" s="29"/>
      <c r="O69" s="61" t="s">
        <v>290</v>
      </c>
      <c r="P69" s="29">
        <v>412</v>
      </c>
      <c r="Q69" s="29"/>
      <c r="T69"/>
      <c r="V69"/>
    </row>
    <row r="70" spans="1:22" x14ac:dyDescent="0.35">
      <c r="B70" s="8"/>
      <c r="C70" s="8"/>
      <c r="G70" s="8"/>
      <c r="H70"/>
      <c r="L70" s="29"/>
      <c r="M70" s="29"/>
      <c r="N70" s="29"/>
      <c r="P70" s="29"/>
      <c r="Q70" s="29"/>
      <c r="T70"/>
      <c r="V70"/>
    </row>
    <row r="71" spans="1:22" s="8" customFormat="1" x14ac:dyDescent="0.35">
      <c r="B71" s="28" t="s">
        <v>197</v>
      </c>
      <c r="C71" s="28"/>
      <c r="E71" s="28" t="s">
        <v>85</v>
      </c>
      <c r="F71" s="28" t="s">
        <v>186</v>
      </c>
      <c r="G71" s="28"/>
      <c r="I71" s="28" t="s">
        <v>86</v>
      </c>
      <c r="J71" s="28"/>
      <c r="K71"/>
      <c r="L71" s="28" t="s">
        <v>188</v>
      </c>
      <c r="M71" s="28" t="s">
        <v>87</v>
      </c>
      <c r="N71" s="28"/>
      <c r="O71"/>
      <c r="P71" s="28" t="s">
        <v>198</v>
      </c>
      <c r="Q71" s="28"/>
      <c r="S71" s="28" t="s">
        <v>88</v>
      </c>
      <c r="U71" s="8" t="s">
        <v>229</v>
      </c>
    </row>
    <row r="72" spans="1:22" x14ac:dyDescent="0.35">
      <c r="B72" s="8">
        <f>SUM(B3:B67)</f>
        <v>30481</v>
      </c>
      <c r="C72" s="8"/>
      <c r="E72" s="8">
        <f>SUM(E3:E67)</f>
        <v>29224</v>
      </c>
      <c r="F72" s="8">
        <f>SUM(F3:F67)</f>
        <v>27498</v>
      </c>
      <c r="G72" s="8"/>
      <c r="H72"/>
      <c r="I72" s="8">
        <f>SUM(I3:I68)</f>
        <v>26842</v>
      </c>
      <c r="K72" s="8"/>
      <c r="L72" s="8">
        <f>SUM(L3:L69)</f>
        <v>27420</v>
      </c>
      <c r="M72" s="8">
        <f>SUM(M3:M69)</f>
        <v>28581</v>
      </c>
      <c r="N72" s="8"/>
      <c r="O72"/>
      <c r="P72" s="8">
        <f>SUM(P3:P71)</f>
        <v>30438</v>
      </c>
      <c r="S72" s="8">
        <f>SUM(S3:S68)</f>
        <v>31333</v>
      </c>
      <c r="T72"/>
      <c r="U72" s="30">
        <f>(S72-F72)/F72</f>
        <v>0.13946468834097026</v>
      </c>
      <c r="V72"/>
    </row>
    <row r="73" spans="1:22" x14ac:dyDescent="0.35">
      <c r="B73" s="8"/>
      <c r="C73" s="8"/>
      <c r="G73" s="8"/>
      <c r="H73"/>
      <c r="N73" s="8"/>
      <c r="O73"/>
      <c r="T73"/>
      <c r="V73"/>
    </row>
    <row r="74" spans="1:22" x14ac:dyDescent="0.35">
      <c r="B74" s="8"/>
      <c r="C74" s="8"/>
      <c r="G74" s="8"/>
      <c r="H74"/>
      <c r="N74" s="8"/>
      <c r="O74"/>
      <c r="T74"/>
      <c r="V74"/>
    </row>
    <row r="75" spans="1:22" x14ac:dyDescent="0.35">
      <c r="B75" s="8"/>
      <c r="C75" s="8"/>
      <c r="G75" s="8"/>
      <c r="H75"/>
      <c r="N75" s="8"/>
      <c r="O75"/>
      <c r="T75"/>
      <c r="V75"/>
    </row>
    <row r="76" spans="1:22" x14ac:dyDescent="0.35">
      <c r="B76" s="8"/>
      <c r="C76" s="8"/>
      <c r="G76" s="8"/>
      <c r="H76"/>
      <c r="N76" s="8"/>
      <c r="O76"/>
      <c r="T76"/>
      <c r="V76"/>
    </row>
    <row r="77" spans="1:22" x14ac:dyDescent="0.35">
      <c r="B77" s="8"/>
      <c r="C77" s="8"/>
      <c r="G77" s="8"/>
      <c r="H77"/>
      <c r="N77" s="8"/>
      <c r="O77"/>
      <c r="T77"/>
      <c r="V77"/>
    </row>
    <row r="78" spans="1:22" x14ac:dyDescent="0.35">
      <c r="B78" s="8"/>
      <c r="C78" s="8"/>
      <c r="G78" s="8"/>
      <c r="H78"/>
      <c r="N78" s="8"/>
      <c r="O78"/>
      <c r="T78"/>
      <c r="V78"/>
    </row>
    <row r="79" spans="1:22" x14ac:dyDescent="0.35">
      <c r="B79" s="8"/>
      <c r="C79" s="8"/>
      <c r="G79" s="8"/>
      <c r="H79"/>
      <c r="N79" s="8"/>
      <c r="O79"/>
      <c r="T79"/>
      <c r="V79"/>
    </row>
    <row r="80" spans="1:22" x14ac:dyDescent="0.35">
      <c r="B80" s="8"/>
      <c r="C80" s="8"/>
      <c r="G80" s="8"/>
      <c r="H80"/>
      <c r="N80" s="8"/>
      <c r="O80"/>
      <c r="T80"/>
      <c r="V80"/>
    </row>
    <row r="81" spans="2:22" x14ac:dyDescent="0.35">
      <c r="B81" s="8"/>
      <c r="C81" s="8"/>
      <c r="G81" s="8"/>
      <c r="H81"/>
      <c r="N81" s="8"/>
      <c r="O81"/>
      <c r="T81"/>
      <c r="V81"/>
    </row>
    <row r="82" spans="2:22" x14ac:dyDescent="0.35">
      <c r="B82" s="8"/>
      <c r="C82" s="8"/>
      <c r="G82" s="8"/>
      <c r="H82"/>
      <c r="N82" s="8"/>
      <c r="O82"/>
      <c r="T82"/>
      <c r="V82"/>
    </row>
    <row r="83" spans="2:22" x14ac:dyDescent="0.35">
      <c r="B83" s="8"/>
      <c r="C83" s="8"/>
      <c r="G83" s="8"/>
      <c r="H83"/>
      <c r="N83" s="8"/>
      <c r="O83"/>
      <c r="T83"/>
      <c r="V83"/>
    </row>
    <row r="84" spans="2:22" x14ac:dyDescent="0.35">
      <c r="B84" s="8"/>
      <c r="C84" s="8"/>
      <c r="G84" s="8"/>
      <c r="H84"/>
      <c r="N84" s="8"/>
      <c r="O84"/>
      <c r="T84"/>
      <c r="V84"/>
    </row>
    <row r="85" spans="2:22" x14ac:dyDescent="0.35">
      <c r="B85" s="8"/>
      <c r="C85" s="8"/>
      <c r="G85" s="8"/>
      <c r="H85"/>
      <c r="N85" s="8"/>
      <c r="O85"/>
      <c r="T85"/>
      <c r="V85"/>
    </row>
    <row r="86" spans="2:22" x14ac:dyDescent="0.35">
      <c r="B86" s="8"/>
      <c r="C86" s="8"/>
      <c r="G86" s="8"/>
      <c r="H86"/>
      <c r="N86" s="8"/>
      <c r="O86"/>
      <c r="T86"/>
      <c r="V86"/>
    </row>
    <row r="87" spans="2:22" x14ac:dyDescent="0.35">
      <c r="B87" s="8"/>
      <c r="C87" s="8"/>
      <c r="G87" s="8"/>
      <c r="H87"/>
      <c r="N87" s="8"/>
      <c r="O87"/>
      <c r="T87"/>
      <c r="V87"/>
    </row>
    <row r="88" spans="2:22" x14ac:dyDescent="0.35">
      <c r="B88" s="8"/>
      <c r="C88" s="8"/>
      <c r="G88" s="8"/>
      <c r="H88"/>
      <c r="N88" s="8"/>
      <c r="O88"/>
      <c r="T88"/>
      <c r="V88"/>
    </row>
    <row r="89" spans="2:22" x14ac:dyDescent="0.35">
      <c r="B89" s="8"/>
      <c r="C89" s="8"/>
      <c r="G89" s="8"/>
      <c r="H89"/>
      <c r="N89" s="8"/>
      <c r="O89"/>
      <c r="T89"/>
      <c r="V89"/>
    </row>
    <row r="90" spans="2:22" x14ac:dyDescent="0.35">
      <c r="B90" s="8"/>
      <c r="C90" s="8"/>
      <c r="G90" s="8"/>
      <c r="H90"/>
      <c r="N90" s="8"/>
      <c r="O90"/>
      <c r="T90"/>
      <c r="V90"/>
    </row>
    <row r="91" spans="2:22" x14ac:dyDescent="0.35">
      <c r="B91" s="8"/>
      <c r="C91" s="8"/>
      <c r="G91" s="8"/>
      <c r="H91"/>
      <c r="N91" s="8"/>
      <c r="O91"/>
      <c r="T91"/>
      <c r="V91"/>
    </row>
    <row r="92" spans="2:22" x14ac:dyDescent="0.35">
      <c r="B92" s="8"/>
      <c r="C92" s="8"/>
      <c r="G92" s="8"/>
      <c r="H92"/>
      <c r="N92" s="8"/>
      <c r="O92"/>
      <c r="T92"/>
      <c r="V92"/>
    </row>
    <row r="93" spans="2:22" x14ac:dyDescent="0.35">
      <c r="B93" s="8"/>
      <c r="C93" s="8"/>
      <c r="G93" s="8"/>
      <c r="H93"/>
      <c r="N93" s="8"/>
      <c r="O93"/>
      <c r="T93"/>
      <c r="V93"/>
    </row>
    <row r="94" spans="2:22" x14ac:dyDescent="0.35">
      <c r="B94" s="8"/>
      <c r="C94" s="8"/>
      <c r="G94" s="8"/>
      <c r="H94"/>
      <c r="N94" s="8"/>
      <c r="O94"/>
      <c r="T94"/>
      <c r="V94"/>
    </row>
    <row r="95" spans="2:22" x14ac:dyDescent="0.35">
      <c r="B95" s="8"/>
      <c r="C95" s="8"/>
      <c r="G95" s="8"/>
      <c r="H95"/>
      <c r="N95" s="8"/>
      <c r="O95"/>
      <c r="T95"/>
      <c r="V95"/>
    </row>
    <row r="96" spans="2:22" x14ac:dyDescent="0.35">
      <c r="B96" s="8"/>
      <c r="C96" s="8"/>
      <c r="G96" s="8"/>
      <c r="H96"/>
      <c r="N96" s="8"/>
      <c r="O96"/>
      <c r="T96"/>
      <c r="V96"/>
    </row>
    <row r="97" spans="2:22" x14ac:dyDescent="0.35">
      <c r="B97" s="8"/>
      <c r="C97" s="8"/>
      <c r="G97" s="8"/>
      <c r="H97"/>
      <c r="N97" s="8"/>
      <c r="O97"/>
      <c r="T97"/>
      <c r="V97"/>
    </row>
    <row r="98" spans="2:22" x14ac:dyDescent="0.35">
      <c r="B98" s="8"/>
      <c r="C98" s="8"/>
      <c r="G98" s="8"/>
      <c r="H98"/>
      <c r="N98" s="8"/>
      <c r="O98"/>
      <c r="T98"/>
      <c r="V98"/>
    </row>
    <row r="99" spans="2:22" x14ac:dyDescent="0.35">
      <c r="B99" s="8"/>
      <c r="C99" s="8"/>
      <c r="G99" s="8"/>
      <c r="H99"/>
      <c r="N99" s="8"/>
      <c r="O99"/>
      <c r="T99"/>
      <c r="V99"/>
    </row>
    <row r="100" spans="2:22" x14ac:dyDescent="0.35">
      <c r="B100" s="8"/>
      <c r="C100" s="8"/>
      <c r="G100" s="8"/>
      <c r="H100"/>
      <c r="N100" s="8"/>
      <c r="O100"/>
      <c r="T100"/>
      <c r="V100"/>
    </row>
    <row r="101" spans="2:22" x14ac:dyDescent="0.35">
      <c r="B101" s="8"/>
      <c r="C101" s="8"/>
      <c r="G101" s="8"/>
      <c r="H101"/>
      <c r="N101" s="8"/>
      <c r="O101"/>
      <c r="T101"/>
      <c r="V101"/>
    </row>
    <row r="102" spans="2:22" x14ac:dyDescent="0.35">
      <c r="B102" s="8"/>
      <c r="C102" s="8"/>
      <c r="G102" s="8"/>
      <c r="H102"/>
      <c r="N102" s="8"/>
      <c r="O102"/>
      <c r="T102"/>
      <c r="V102"/>
    </row>
    <row r="103" spans="2:22" x14ac:dyDescent="0.35">
      <c r="B103" s="8"/>
      <c r="C103" s="8"/>
      <c r="G103" s="8"/>
      <c r="H103"/>
      <c r="N103" s="8"/>
      <c r="O103"/>
      <c r="T103"/>
      <c r="V103"/>
    </row>
    <row r="104" spans="2:22" x14ac:dyDescent="0.35">
      <c r="B104" s="8"/>
      <c r="C104" s="8"/>
      <c r="G104" s="8"/>
      <c r="H104"/>
      <c r="N104" s="8"/>
      <c r="O104"/>
      <c r="T104"/>
      <c r="V104"/>
    </row>
    <row r="105" spans="2:22" x14ac:dyDescent="0.35">
      <c r="B105" s="8"/>
      <c r="C105" s="8"/>
      <c r="G105" s="8"/>
      <c r="H105"/>
      <c r="N105" s="8"/>
      <c r="O105"/>
      <c r="T105"/>
      <c r="V105"/>
    </row>
    <row r="106" spans="2:22" x14ac:dyDescent="0.35">
      <c r="B106" s="8"/>
      <c r="C106" s="8"/>
      <c r="G106" s="8"/>
      <c r="H106"/>
      <c r="N106" s="8"/>
      <c r="O106"/>
      <c r="T106"/>
      <c r="V106"/>
    </row>
    <row r="107" spans="2:22" x14ac:dyDescent="0.35">
      <c r="B107" s="8"/>
      <c r="C107" s="8"/>
      <c r="G107" s="8"/>
      <c r="H107"/>
      <c r="N107" s="8"/>
      <c r="O107"/>
      <c r="T107"/>
      <c r="V107"/>
    </row>
    <row r="108" spans="2:22" x14ac:dyDescent="0.35">
      <c r="B108" s="8"/>
      <c r="C108" s="8"/>
      <c r="G108" s="8"/>
      <c r="H108"/>
      <c r="N108" s="8"/>
      <c r="O108"/>
      <c r="T108"/>
      <c r="V108"/>
    </row>
    <row r="109" spans="2:22" x14ac:dyDescent="0.35">
      <c r="B109" s="8"/>
      <c r="C109" s="8"/>
      <c r="G109" s="8"/>
      <c r="H109"/>
      <c r="N109" s="8"/>
      <c r="O109"/>
      <c r="T109"/>
      <c r="V109"/>
    </row>
    <row r="110" spans="2:22" x14ac:dyDescent="0.35">
      <c r="B110" s="8"/>
      <c r="C110" s="8"/>
      <c r="G110" s="8"/>
      <c r="H110"/>
      <c r="N110" s="8"/>
      <c r="O110"/>
      <c r="T110"/>
      <c r="V110"/>
    </row>
    <row r="111" spans="2:22" x14ac:dyDescent="0.35">
      <c r="B111" s="8"/>
      <c r="C111" s="8"/>
      <c r="G111" s="8"/>
      <c r="H111"/>
      <c r="N111" s="8"/>
      <c r="O111"/>
      <c r="T111"/>
      <c r="V111"/>
    </row>
    <row r="112" spans="2:22" x14ac:dyDescent="0.35">
      <c r="B112" s="8"/>
      <c r="C112" s="8"/>
      <c r="G112" s="8"/>
      <c r="H112"/>
      <c r="N112" s="8"/>
      <c r="O112"/>
      <c r="T112"/>
      <c r="V112"/>
    </row>
    <row r="113" spans="2:22" x14ac:dyDescent="0.35">
      <c r="B113" s="8"/>
      <c r="C113" s="8"/>
      <c r="G113" s="8"/>
      <c r="H113"/>
      <c r="N113" s="8"/>
      <c r="O113"/>
      <c r="T113"/>
      <c r="V113"/>
    </row>
    <row r="114" spans="2:22" x14ac:dyDescent="0.35">
      <c r="B114" s="8"/>
      <c r="C114" s="8"/>
      <c r="G114" s="8"/>
      <c r="H114"/>
      <c r="N114" s="8"/>
      <c r="O114"/>
      <c r="T114"/>
      <c r="V114"/>
    </row>
    <row r="115" spans="2:22" x14ac:dyDescent="0.35">
      <c r="B115" s="8"/>
      <c r="C115" s="8"/>
      <c r="G115" s="8"/>
      <c r="H115"/>
      <c r="N115" s="8"/>
      <c r="O115"/>
      <c r="T115"/>
      <c r="V115"/>
    </row>
    <row r="116" spans="2:22" x14ac:dyDescent="0.35">
      <c r="B116" s="8"/>
      <c r="C116" s="8"/>
      <c r="G116" s="8"/>
      <c r="H116"/>
      <c r="N116" s="8"/>
      <c r="O116"/>
      <c r="T116"/>
      <c r="V116"/>
    </row>
    <row r="117" spans="2:22" x14ac:dyDescent="0.35">
      <c r="B117" s="8"/>
      <c r="C117" s="8"/>
      <c r="G117" s="8"/>
      <c r="H117"/>
      <c r="N117" s="8"/>
      <c r="O117"/>
      <c r="T117"/>
      <c r="V117"/>
    </row>
    <row r="118" spans="2:22" x14ac:dyDescent="0.35">
      <c r="B118" s="8"/>
      <c r="C118" s="8"/>
      <c r="G118" s="8"/>
      <c r="H118"/>
      <c r="N118" s="8"/>
      <c r="O118"/>
      <c r="T118"/>
      <c r="V118"/>
    </row>
    <row r="119" spans="2:22" x14ac:dyDescent="0.35">
      <c r="B119" s="8"/>
      <c r="C119" s="8"/>
      <c r="G119" s="8"/>
      <c r="H119"/>
      <c r="N119" s="8"/>
      <c r="O119"/>
      <c r="T119"/>
      <c r="V119"/>
    </row>
    <row r="120" spans="2:22" x14ac:dyDescent="0.35">
      <c r="B120" s="8"/>
      <c r="C120" s="8"/>
      <c r="G120" s="8"/>
      <c r="H120"/>
      <c r="N120" s="8"/>
      <c r="O120"/>
      <c r="T120"/>
      <c r="V120"/>
    </row>
    <row r="121" spans="2:22" x14ac:dyDescent="0.35">
      <c r="B121" s="8"/>
      <c r="C121" s="8"/>
      <c r="G121" s="8"/>
      <c r="H121"/>
      <c r="N121" s="8"/>
      <c r="O121"/>
      <c r="T121"/>
      <c r="V121"/>
    </row>
    <row r="122" spans="2:22" x14ac:dyDescent="0.35">
      <c r="B122" s="8"/>
      <c r="C122" s="8"/>
      <c r="G122" s="8"/>
      <c r="H122"/>
      <c r="N122" s="8"/>
      <c r="O122"/>
      <c r="T122"/>
      <c r="V122"/>
    </row>
    <row r="123" spans="2:22" x14ac:dyDescent="0.35">
      <c r="B123" s="8"/>
      <c r="C123" s="8"/>
      <c r="G123" s="8"/>
      <c r="H123"/>
      <c r="N123" s="8"/>
      <c r="O123"/>
      <c r="T123"/>
      <c r="V123"/>
    </row>
    <row r="124" spans="2:22" x14ac:dyDescent="0.35">
      <c r="B124" s="8"/>
      <c r="C124" s="8"/>
      <c r="G124" s="8"/>
      <c r="H124"/>
      <c r="N124" s="8"/>
      <c r="O124"/>
      <c r="T124"/>
      <c r="V124"/>
    </row>
    <row r="125" spans="2:22" x14ac:dyDescent="0.35">
      <c r="B125" s="8"/>
      <c r="C125" s="8"/>
      <c r="G125" s="8"/>
      <c r="H125"/>
      <c r="N125" s="8"/>
      <c r="O125"/>
      <c r="T125"/>
      <c r="V125"/>
    </row>
    <row r="581" spans="1:3" x14ac:dyDescent="0.35">
      <c r="A581" t="s">
        <v>195</v>
      </c>
      <c r="B581" s="9">
        <v>273916</v>
      </c>
      <c r="C581" s="9"/>
    </row>
  </sheetData>
  <sheetProtection algorithmName="SHA-512" hashValue="U3AcrtFFY31XHcjCyLX41QJoIPU+jJtOdQaAMkKTAXxm3+5SonEJKmYy004MULvOgllc/IMsHbLDnCQLS3qF/A==" saltValue="rbP2TLf7oM2SbwuV9l6M/A=="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A1:X84"/>
  <sheetViews>
    <sheetView tabSelected="1" topLeftCell="I48" zoomScale="80" zoomScaleNormal="80" workbookViewId="0">
      <selection activeCell="S64" sqref="S64"/>
    </sheetView>
  </sheetViews>
  <sheetFormatPr defaultColWidth="11" defaultRowHeight="15.5" x14ac:dyDescent="0.35"/>
  <cols>
    <col min="1" max="1" width="22.08203125" customWidth="1"/>
    <col min="2" max="2" width="27" customWidth="1"/>
    <col min="10" max="10" width="7.33203125" style="17" customWidth="1"/>
    <col min="11" max="11" width="9.75" customWidth="1"/>
    <col min="13" max="13" width="22.08203125" customWidth="1"/>
    <col min="14" max="14" width="25.6640625" customWidth="1"/>
    <col min="21" max="21" width="10.83203125" style="17"/>
    <col min="22" max="22" width="8.33203125" customWidth="1"/>
    <col min="23" max="23" width="5.33203125" customWidth="1"/>
  </cols>
  <sheetData>
    <row r="1" spans="1:22" x14ac:dyDescent="0.35">
      <c r="A1" s="23"/>
      <c r="B1" s="23" t="s">
        <v>64</v>
      </c>
      <c r="C1" s="23"/>
      <c r="D1" s="23"/>
      <c r="E1" s="23"/>
      <c r="F1" s="23"/>
      <c r="G1" s="23"/>
      <c r="H1" s="23"/>
      <c r="I1" s="23"/>
      <c r="J1" s="23"/>
      <c r="K1" s="24"/>
      <c r="N1" s="25" t="s">
        <v>192</v>
      </c>
      <c r="O1" s="26"/>
      <c r="P1" s="26"/>
      <c r="Q1" s="26"/>
      <c r="R1" s="26"/>
      <c r="S1" s="26"/>
      <c r="T1" s="26"/>
      <c r="U1" s="26"/>
      <c r="V1" s="17"/>
    </row>
    <row r="2" spans="1:22" x14ac:dyDescent="0.35">
      <c r="A2" s="8" t="s">
        <v>313</v>
      </c>
      <c r="B2" s="8" t="s">
        <v>167</v>
      </c>
      <c r="C2" s="9" t="s">
        <v>85</v>
      </c>
      <c r="D2" s="9" t="s">
        <v>186</v>
      </c>
      <c r="E2" s="9" t="s">
        <v>86</v>
      </c>
      <c r="F2" s="9" t="s">
        <v>188</v>
      </c>
      <c r="G2" s="9" t="s">
        <v>87</v>
      </c>
      <c r="H2" s="9" t="s">
        <v>187</v>
      </c>
      <c r="I2" s="9" t="s">
        <v>88</v>
      </c>
      <c r="J2" s="9"/>
      <c r="K2" s="9" t="s">
        <v>301</v>
      </c>
      <c r="L2" s="9"/>
      <c r="M2" s="8" t="s">
        <v>313</v>
      </c>
      <c r="N2" s="8" t="s">
        <v>167</v>
      </c>
      <c r="O2" s="8" t="s">
        <v>85</v>
      </c>
      <c r="P2" s="9" t="s">
        <v>186</v>
      </c>
      <c r="Q2" s="9" t="s">
        <v>86</v>
      </c>
      <c r="R2" s="9" t="s">
        <v>188</v>
      </c>
      <c r="S2" s="9" t="s">
        <v>87</v>
      </c>
      <c r="T2" s="9" t="s">
        <v>187</v>
      </c>
      <c r="U2" s="9" t="s">
        <v>88</v>
      </c>
      <c r="V2" s="18" t="s">
        <v>302</v>
      </c>
    </row>
    <row r="3" spans="1:22" x14ac:dyDescent="0.35">
      <c r="A3" t="s">
        <v>7</v>
      </c>
      <c r="B3" s="6" t="s">
        <v>19</v>
      </c>
      <c r="C3" s="14">
        <v>76</v>
      </c>
      <c r="D3" s="14">
        <v>92</v>
      </c>
      <c r="E3" s="14">
        <v>503</v>
      </c>
      <c r="F3" s="14">
        <v>455</v>
      </c>
      <c r="G3" s="14">
        <v>481</v>
      </c>
      <c r="H3" s="14">
        <v>423</v>
      </c>
      <c r="I3" s="14">
        <v>493</v>
      </c>
      <c r="J3" s="14"/>
      <c r="K3" s="17">
        <f t="shared" ref="K3:K28" si="0">(I3-C3)/C3</f>
        <v>5.4868421052631575</v>
      </c>
      <c r="L3" s="17"/>
      <c r="M3" s="166" t="s">
        <v>7</v>
      </c>
      <c r="N3" s="167" t="s">
        <v>19</v>
      </c>
      <c r="O3" s="21">
        <v>258</v>
      </c>
      <c r="P3" s="21">
        <v>301</v>
      </c>
      <c r="Q3" s="21">
        <v>804</v>
      </c>
      <c r="R3" s="21">
        <v>1131</v>
      </c>
      <c r="S3" s="21">
        <v>1484</v>
      </c>
      <c r="T3" s="21">
        <v>1525</v>
      </c>
      <c r="U3" s="21">
        <v>1629</v>
      </c>
      <c r="V3" s="17">
        <f>(U3-O3)/O3</f>
        <v>5.3139534883720927</v>
      </c>
    </row>
    <row r="4" spans="1:22" x14ac:dyDescent="0.35">
      <c r="A4" t="s">
        <v>204</v>
      </c>
      <c r="B4" s="6" t="s">
        <v>172</v>
      </c>
      <c r="C4" s="14">
        <v>576</v>
      </c>
      <c r="D4" s="14">
        <v>496</v>
      </c>
      <c r="E4" s="14">
        <v>468</v>
      </c>
      <c r="F4" s="14">
        <v>479</v>
      </c>
      <c r="G4" s="14">
        <v>395</v>
      </c>
      <c r="H4" s="14">
        <v>321</v>
      </c>
      <c r="I4" s="14">
        <v>367</v>
      </c>
      <c r="J4" s="14"/>
      <c r="K4" s="19">
        <f t="shared" si="0"/>
        <v>-0.36284722222222221</v>
      </c>
      <c r="L4" s="19"/>
      <c r="M4" s="162" t="s">
        <v>204</v>
      </c>
      <c r="N4" s="163" t="s">
        <v>172</v>
      </c>
      <c r="O4" s="21">
        <v>1350</v>
      </c>
      <c r="P4" s="21">
        <v>1545</v>
      </c>
      <c r="Q4" s="21">
        <v>1739</v>
      </c>
      <c r="R4" s="21">
        <v>1816</v>
      </c>
      <c r="S4" s="21">
        <v>1788</v>
      </c>
      <c r="T4" s="21">
        <v>1630</v>
      </c>
      <c r="U4" s="21">
        <v>1546</v>
      </c>
      <c r="V4" s="17">
        <f t="shared" ref="V4:V50" si="1">(U4-O4)/O4</f>
        <v>0.14518518518518519</v>
      </c>
    </row>
    <row r="5" spans="1:22" x14ac:dyDescent="0.35">
      <c r="A5" t="s">
        <v>205</v>
      </c>
      <c r="B5" s="6" t="s">
        <v>173</v>
      </c>
      <c r="C5" s="14">
        <v>74</v>
      </c>
      <c r="D5" s="14">
        <v>108</v>
      </c>
      <c r="E5" s="14">
        <v>69</v>
      </c>
      <c r="F5" s="14">
        <v>79</v>
      </c>
      <c r="G5" s="14">
        <v>116</v>
      </c>
      <c r="H5" s="14">
        <v>143</v>
      </c>
      <c r="I5" s="14">
        <v>200</v>
      </c>
      <c r="J5" s="14"/>
      <c r="K5" s="17">
        <f t="shared" si="0"/>
        <v>1.7027027027027026</v>
      </c>
      <c r="L5" s="17"/>
      <c r="M5" t="s">
        <v>205</v>
      </c>
      <c r="N5" s="6" t="s">
        <v>173</v>
      </c>
      <c r="O5" s="21">
        <v>119</v>
      </c>
      <c r="P5" s="21">
        <v>192</v>
      </c>
      <c r="Q5" s="21">
        <v>215</v>
      </c>
      <c r="R5" s="21">
        <v>241</v>
      </c>
      <c r="S5" s="21">
        <v>279</v>
      </c>
      <c r="T5" s="21">
        <v>326</v>
      </c>
      <c r="U5" s="21">
        <v>452</v>
      </c>
      <c r="V5" s="17">
        <f t="shared" si="1"/>
        <v>2.7983193277310923</v>
      </c>
    </row>
    <row r="6" spans="1:22" x14ac:dyDescent="0.35">
      <c r="A6" t="s">
        <v>206</v>
      </c>
      <c r="B6" s="6" t="s">
        <v>22</v>
      </c>
      <c r="C6" s="14">
        <v>418</v>
      </c>
      <c r="D6" s="14">
        <v>338</v>
      </c>
      <c r="E6" s="14">
        <v>351</v>
      </c>
      <c r="F6" s="14">
        <v>289</v>
      </c>
      <c r="G6" s="14">
        <v>364</v>
      </c>
      <c r="H6" s="14">
        <v>420</v>
      </c>
      <c r="I6" s="14">
        <v>437</v>
      </c>
      <c r="J6" s="14"/>
      <c r="K6" s="17">
        <f t="shared" si="0"/>
        <v>4.5454545454545456E-2</v>
      </c>
      <c r="L6" s="17"/>
      <c r="M6" t="s">
        <v>206</v>
      </c>
      <c r="N6" s="6" t="s">
        <v>22</v>
      </c>
      <c r="O6" s="21">
        <v>1330</v>
      </c>
      <c r="P6" s="21">
        <v>1393</v>
      </c>
      <c r="Q6" s="21">
        <v>1423</v>
      </c>
      <c r="R6" s="21">
        <v>1329</v>
      </c>
      <c r="S6" s="21">
        <v>1332</v>
      </c>
      <c r="T6" s="21">
        <v>1369</v>
      </c>
      <c r="U6" s="21">
        <v>1506</v>
      </c>
      <c r="V6" s="17">
        <f t="shared" si="1"/>
        <v>0.13233082706766916</v>
      </c>
    </row>
    <row r="7" spans="1:22" x14ac:dyDescent="0.35">
      <c r="A7" t="s">
        <v>207</v>
      </c>
      <c r="B7" s="6" t="s">
        <v>181</v>
      </c>
      <c r="C7" s="14">
        <v>29</v>
      </c>
      <c r="D7" s="14">
        <v>32</v>
      </c>
      <c r="E7" s="14">
        <v>43</v>
      </c>
      <c r="F7" s="14">
        <v>39</v>
      </c>
      <c r="G7" s="14">
        <v>45</v>
      </c>
      <c r="H7" s="14">
        <v>62</v>
      </c>
      <c r="I7" s="14">
        <v>72</v>
      </c>
      <c r="J7" s="14"/>
      <c r="K7" s="17">
        <f t="shared" si="0"/>
        <v>1.4827586206896552</v>
      </c>
      <c r="L7" s="17"/>
      <c r="M7" t="s">
        <v>207</v>
      </c>
      <c r="N7" s="6" t="s">
        <v>181</v>
      </c>
      <c r="O7" s="21">
        <v>63</v>
      </c>
      <c r="P7" s="21">
        <v>84</v>
      </c>
      <c r="Q7" s="21">
        <v>106</v>
      </c>
      <c r="R7" s="21">
        <v>134</v>
      </c>
      <c r="S7" s="21">
        <v>155</v>
      </c>
      <c r="T7" s="21">
        <v>172</v>
      </c>
      <c r="U7" s="21">
        <v>205</v>
      </c>
      <c r="V7" s="17">
        <f t="shared" si="1"/>
        <v>2.253968253968254</v>
      </c>
    </row>
    <row r="8" spans="1:22" x14ac:dyDescent="0.35">
      <c r="A8" t="s">
        <v>205</v>
      </c>
      <c r="B8" s="6" t="s">
        <v>23</v>
      </c>
      <c r="C8" s="14">
        <v>39</v>
      </c>
      <c r="D8" s="14">
        <v>47</v>
      </c>
      <c r="E8" s="14">
        <v>61</v>
      </c>
      <c r="F8" s="14">
        <v>50</v>
      </c>
      <c r="G8" s="14">
        <v>63</v>
      </c>
      <c r="H8" s="14">
        <v>79</v>
      </c>
      <c r="I8" s="14">
        <v>74</v>
      </c>
      <c r="J8" s="14"/>
      <c r="K8" s="17">
        <f t="shared" si="0"/>
        <v>0.89743589743589747</v>
      </c>
      <c r="L8" s="17"/>
      <c r="M8" t="s">
        <v>205</v>
      </c>
      <c r="N8" s="6" t="s">
        <v>23</v>
      </c>
      <c r="O8" s="21">
        <v>142</v>
      </c>
      <c r="P8" s="21">
        <v>157</v>
      </c>
      <c r="Q8" s="21">
        <v>177</v>
      </c>
      <c r="R8" s="21">
        <v>157</v>
      </c>
      <c r="S8" s="21">
        <v>172</v>
      </c>
      <c r="T8" s="21">
        <v>197</v>
      </c>
      <c r="U8" s="21">
        <v>195</v>
      </c>
      <c r="V8" s="17">
        <f t="shared" si="1"/>
        <v>0.37323943661971831</v>
      </c>
    </row>
    <row r="9" spans="1:22" x14ac:dyDescent="0.35">
      <c r="A9" t="s">
        <v>208</v>
      </c>
      <c r="B9" s="6" t="s">
        <v>24</v>
      </c>
      <c r="C9" s="14">
        <v>131</v>
      </c>
      <c r="D9" s="14">
        <v>114</v>
      </c>
      <c r="E9" s="14">
        <v>83</v>
      </c>
      <c r="F9" s="14">
        <v>123</v>
      </c>
      <c r="G9" s="14">
        <v>79</v>
      </c>
      <c r="H9" s="14">
        <v>94</v>
      </c>
      <c r="I9" s="14">
        <v>87</v>
      </c>
      <c r="J9" s="14"/>
      <c r="K9" s="19">
        <f t="shared" si="0"/>
        <v>-0.33587786259541985</v>
      </c>
      <c r="L9" s="19"/>
      <c r="M9" s="162" t="s">
        <v>208</v>
      </c>
      <c r="N9" s="163" t="s">
        <v>24</v>
      </c>
      <c r="O9" s="21">
        <v>387</v>
      </c>
      <c r="P9" s="21">
        <v>392</v>
      </c>
      <c r="Q9" s="21">
        <v>376</v>
      </c>
      <c r="R9" s="21">
        <v>410</v>
      </c>
      <c r="S9" s="21">
        <v>383</v>
      </c>
      <c r="T9" s="21">
        <v>394</v>
      </c>
      <c r="U9" s="21">
        <v>373</v>
      </c>
      <c r="V9" s="19">
        <f t="shared" si="1"/>
        <v>-3.6175710594315243E-2</v>
      </c>
    </row>
    <row r="10" spans="1:22" x14ac:dyDescent="0.35">
      <c r="A10" t="s">
        <v>200</v>
      </c>
      <c r="B10" s="6" t="s">
        <v>174</v>
      </c>
      <c r="C10" s="14">
        <v>195</v>
      </c>
      <c r="D10" s="14">
        <v>179</v>
      </c>
      <c r="E10" s="14">
        <v>191</v>
      </c>
      <c r="F10" s="14">
        <v>195</v>
      </c>
      <c r="G10" s="14">
        <v>206</v>
      </c>
      <c r="H10" s="14">
        <v>196</v>
      </c>
      <c r="I10" s="14">
        <v>194</v>
      </c>
      <c r="J10" s="14"/>
      <c r="K10" s="19">
        <f t="shared" si="0"/>
        <v>-5.1282051282051282E-3</v>
      </c>
      <c r="L10" s="19"/>
      <c r="M10" s="162" t="s">
        <v>200</v>
      </c>
      <c r="N10" s="163" t="s">
        <v>174</v>
      </c>
      <c r="O10" s="21">
        <v>603</v>
      </c>
      <c r="P10" s="21">
        <v>746</v>
      </c>
      <c r="Q10" s="21">
        <v>847</v>
      </c>
      <c r="R10" s="21">
        <v>912</v>
      </c>
      <c r="S10" s="21">
        <v>975</v>
      </c>
      <c r="T10" s="21">
        <v>982</v>
      </c>
      <c r="U10" s="21">
        <v>1006</v>
      </c>
      <c r="V10" s="17">
        <f t="shared" si="1"/>
        <v>0.66832504145936977</v>
      </c>
    </row>
    <row r="11" spans="1:22" x14ac:dyDescent="0.35">
      <c r="A11" t="s">
        <v>209</v>
      </c>
      <c r="B11" s="6" t="s">
        <v>168</v>
      </c>
      <c r="C11" s="14">
        <v>106</v>
      </c>
      <c r="D11" s="14">
        <v>120</v>
      </c>
      <c r="E11" s="14">
        <v>122</v>
      </c>
      <c r="F11" s="14">
        <v>111</v>
      </c>
      <c r="G11" s="14">
        <v>82</v>
      </c>
      <c r="H11" s="14">
        <v>57</v>
      </c>
      <c r="I11" s="14">
        <v>94</v>
      </c>
      <c r="J11" s="14"/>
      <c r="K11" s="19">
        <f t="shared" si="0"/>
        <v>-0.11320754716981132</v>
      </c>
      <c r="L11" s="19"/>
      <c r="M11" s="166" t="s">
        <v>209</v>
      </c>
      <c r="N11" s="167" t="s">
        <v>168</v>
      </c>
      <c r="O11" s="21">
        <v>557</v>
      </c>
      <c r="P11" s="21">
        <v>552</v>
      </c>
      <c r="Q11" s="21">
        <v>560</v>
      </c>
      <c r="R11" s="21">
        <v>551</v>
      </c>
      <c r="S11" s="21">
        <v>493</v>
      </c>
      <c r="T11" s="21">
        <v>421</v>
      </c>
      <c r="U11" s="21">
        <v>390</v>
      </c>
      <c r="V11" s="19">
        <f t="shared" si="1"/>
        <v>-0.29982046678635549</v>
      </c>
    </row>
    <row r="12" spans="1:22" x14ac:dyDescent="0.35">
      <c r="A12" t="s">
        <v>210</v>
      </c>
      <c r="B12" s="6" t="s">
        <v>25</v>
      </c>
      <c r="C12" s="14">
        <v>175</v>
      </c>
      <c r="D12" s="14">
        <v>192</v>
      </c>
      <c r="E12" s="14">
        <v>187</v>
      </c>
      <c r="F12" s="14">
        <v>198</v>
      </c>
      <c r="G12" s="14">
        <v>202</v>
      </c>
      <c r="H12" s="14">
        <v>243</v>
      </c>
      <c r="I12" s="14">
        <v>215</v>
      </c>
      <c r="J12" s="14"/>
      <c r="K12" s="17">
        <f t="shared" si="0"/>
        <v>0.22857142857142856</v>
      </c>
      <c r="L12" s="17"/>
      <c r="M12" s="162" t="s">
        <v>210</v>
      </c>
      <c r="N12" s="163" t="s">
        <v>25</v>
      </c>
      <c r="O12" s="21">
        <v>626</v>
      </c>
      <c r="P12" s="21">
        <v>763</v>
      </c>
      <c r="Q12" s="21">
        <v>873</v>
      </c>
      <c r="R12" s="21">
        <v>949</v>
      </c>
      <c r="S12" s="21">
        <v>1000</v>
      </c>
      <c r="T12" s="21">
        <v>1045</v>
      </c>
      <c r="U12" s="21">
        <v>1072</v>
      </c>
      <c r="V12" s="17">
        <f t="shared" si="1"/>
        <v>0.71246006389776362</v>
      </c>
    </row>
    <row r="13" spans="1:22" x14ac:dyDescent="0.35">
      <c r="A13" t="s">
        <v>211</v>
      </c>
      <c r="B13" s="6" t="s">
        <v>182</v>
      </c>
      <c r="C13" s="14">
        <v>401</v>
      </c>
      <c r="D13" s="14">
        <v>394</v>
      </c>
      <c r="E13" s="14">
        <v>364</v>
      </c>
      <c r="F13" s="14">
        <v>332</v>
      </c>
      <c r="G13" s="14">
        <v>300</v>
      </c>
      <c r="H13" s="14">
        <v>296</v>
      </c>
      <c r="I13" s="14">
        <v>283</v>
      </c>
      <c r="J13" s="14"/>
      <c r="K13" s="19">
        <f t="shared" si="0"/>
        <v>-0.29426433915211969</v>
      </c>
      <c r="L13" s="19"/>
      <c r="M13" s="162" t="s">
        <v>211</v>
      </c>
      <c r="N13" s="163" t="s">
        <v>182</v>
      </c>
      <c r="O13" s="21">
        <v>834</v>
      </c>
      <c r="P13" s="21">
        <v>1102</v>
      </c>
      <c r="Q13" s="21">
        <v>1264</v>
      </c>
      <c r="R13" s="21">
        <v>1346</v>
      </c>
      <c r="S13" s="21">
        <v>1302</v>
      </c>
      <c r="T13" s="21">
        <v>1310</v>
      </c>
      <c r="U13" s="21">
        <v>1282</v>
      </c>
      <c r="V13" s="17">
        <f t="shared" si="1"/>
        <v>0.53717026378896882</v>
      </c>
    </row>
    <row r="14" spans="1:22" x14ac:dyDescent="0.35">
      <c r="A14" t="s">
        <v>206</v>
      </c>
      <c r="B14" s="6" t="s">
        <v>26</v>
      </c>
      <c r="C14" s="14">
        <v>24</v>
      </c>
      <c r="D14" s="14">
        <v>12</v>
      </c>
      <c r="E14" s="14">
        <v>18</v>
      </c>
      <c r="F14" s="14">
        <v>41</v>
      </c>
      <c r="G14" s="14">
        <v>61</v>
      </c>
      <c r="H14" s="14">
        <v>33</v>
      </c>
      <c r="I14" s="14">
        <v>51</v>
      </c>
      <c r="J14" s="14"/>
      <c r="K14" s="17">
        <f t="shared" si="0"/>
        <v>1.125</v>
      </c>
      <c r="L14" s="17"/>
      <c r="M14" t="s">
        <v>206</v>
      </c>
      <c r="N14" s="6" t="s">
        <v>26</v>
      </c>
      <c r="O14" s="21">
        <v>124</v>
      </c>
      <c r="P14" s="21">
        <v>110</v>
      </c>
      <c r="Q14" s="21">
        <v>110</v>
      </c>
      <c r="R14" s="21">
        <v>163</v>
      </c>
      <c r="S14" s="21">
        <v>197</v>
      </c>
      <c r="T14" s="21">
        <v>177</v>
      </c>
      <c r="U14" s="21">
        <v>167</v>
      </c>
      <c r="V14" s="17">
        <f t="shared" si="1"/>
        <v>0.34677419354838712</v>
      </c>
    </row>
    <row r="15" spans="1:22" x14ac:dyDescent="0.35">
      <c r="A15" t="s">
        <v>212</v>
      </c>
      <c r="B15" s="6" t="s">
        <v>27</v>
      </c>
      <c r="C15" s="14">
        <v>448</v>
      </c>
      <c r="D15" s="14">
        <v>341</v>
      </c>
      <c r="E15" s="14">
        <v>322</v>
      </c>
      <c r="F15" s="14">
        <v>268</v>
      </c>
      <c r="G15" s="14">
        <v>256</v>
      </c>
      <c r="H15" s="14">
        <v>339</v>
      </c>
      <c r="I15" s="14">
        <v>349</v>
      </c>
      <c r="J15" s="14"/>
      <c r="K15" s="19">
        <f t="shared" si="0"/>
        <v>-0.22098214285714285</v>
      </c>
      <c r="L15" s="19"/>
      <c r="M15" s="166" t="s">
        <v>212</v>
      </c>
      <c r="N15" s="167" t="s">
        <v>27</v>
      </c>
      <c r="O15" s="21">
        <v>1306</v>
      </c>
      <c r="P15" s="21">
        <v>1319</v>
      </c>
      <c r="Q15" s="21">
        <v>1261</v>
      </c>
      <c r="R15" s="21">
        <v>1098</v>
      </c>
      <c r="S15" s="21">
        <v>1019</v>
      </c>
      <c r="T15" s="21">
        <v>1069</v>
      </c>
      <c r="U15" s="21">
        <v>1133</v>
      </c>
      <c r="V15" s="19">
        <f t="shared" si="1"/>
        <v>-0.13246554364471669</v>
      </c>
    </row>
    <row r="16" spans="1:22" x14ac:dyDescent="0.35">
      <c r="A16" t="s">
        <v>204</v>
      </c>
      <c r="B16" s="6" t="s">
        <v>28</v>
      </c>
      <c r="C16" s="14">
        <v>107</v>
      </c>
      <c r="D16" s="14">
        <v>99</v>
      </c>
      <c r="E16" s="14">
        <v>80</v>
      </c>
      <c r="F16" s="14">
        <v>77</v>
      </c>
      <c r="G16" s="14">
        <v>82</v>
      </c>
      <c r="H16" s="14">
        <v>140</v>
      </c>
      <c r="I16" s="14">
        <v>141</v>
      </c>
      <c r="J16" s="14"/>
      <c r="K16" s="17">
        <f t="shared" si="0"/>
        <v>0.31775700934579437</v>
      </c>
      <c r="L16" s="17"/>
      <c r="M16" s="162" t="s">
        <v>204</v>
      </c>
      <c r="N16" s="163" t="s">
        <v>28</v>
      </c>
      <c r="O16" s="21">
        <v>309</v>
      </c>
      <c r="P16" s="21">
        <v>354</v>
      </c>
      <c r="Q16" s="21">
        <v>368</v>
      </c>
      <c r="R16" s="21">
        <v>370</v>
      </c>
      <c r="S16" s="21">
        <v>379</v>
      </c>
      <c r="T16" s="21">
        <v>449</v>
      </c>
      <c r="U16" s="21">
        <v>489</v>
      </c>
      <c r="V16" s="17">
        <f t="shared" si="1"/>
        <v>0.58252427184466016</v>
      </c>
    </row>
    <row r="17" spans="1:23" x14ac:dyDescent="0.35">
      <c r="A17" t="s">
        <v>213</v>
      </c>
      <c r="B17" s="6" t="s">
        <v>29</v>
      </c>
      <c r="C17" s="14">
        <v>217</v>
      </c>
      <c r="D17" s="14">
        <v>239</v>
      </c>
      <c r="E17" s="14">
        <v>245</v>
      </c>
      <c r="F17" s="14">
        <v>207</v>
      </c>
      <c r="G17" s="14">
        <v>229</v>
      </c>
      <c r="H17" s="14">
        <v>183</v>
      </c>
      <c r="I17" s="14">
        <v>212</v>
      </c>
      <c r="J17" s="14"/>
      <c r="K17" s="19">
        <f t="shared" si="0"/>
        <v>-2.3041474654377881E-2</v>
      </c>
      <c r="L17" s="19"/>
      <c r="M17" t="s">
        <v>213</v>
      </c>
      <c r="N17" s="6" t="s">
        <v>29</v>
      </c>
      <c r="O17" s="21">
        <v>482</v>
      </c>
      <c r="P17" s="21">
        <v>582</v>
      </c>
      <c r="Q17" s="21">
        <v>642</v>
      </c>
      <c r="R17" s="21">
        <v>639</v>
      </c>
      <c r="S17" s="21">
        <v>654</v>
      </c>
      <c r="T17" s="21">
        <v>633</v>
      </c>
      <c r="U17" s="21">
        <v>692</v>
      </c>
      <c r="V17" s="17">
        <f t="shared" si="1"/>
        <v>0.43568464730290457</v>
      </c>
    </row>
    <row r="18" spans="1:23" x14ac:dyDescent="0.35">
      <c r="A18" t="s">
        <v>205</v>
      </c>
      <c r="B18" s="6" t="s">
        <v>30</v>
      </c>
      <c r="C18" s="14">
        <v>307</v>
      </c>
      <c r="D18" s="14">
        <v>306</v>
      </c>
      <c r="E18" s="14">
        <v>262</v>
      </c>
      <c r="F18" s="14">
        <v>363</v>
      </c>
      <c r="G18" s="14">
        <v>440</v>
      </c>
      <c r="H18" s="14">
        <v>467</v>
      </c>
      <c r="I18" s="14">
        <v>583</v>
      </c>
      <c r="J18" s="14"/>
      <c r="K18" s="17">
        <f t="shared" si="0"/>
        <v>0.89902280130293155</v>
      </c>
      <c r="L18" s="17"/>
      <c r="M18" t="s">
        <v>205</v>
      </c>
      <c r="N18" s="6" t="s">
        <v>30</v>
      </c>
      <c r="O18" s="21">
        <v>716</v>
      </c>
      <c r="P18" s="21">
        <v>998</v>
      </c>
      <c r="Q18" s="21">
        <v>1140</v>
      </c>
      <c r="R18" s="21">
        <v>1239</v>
      </c>
      <c r="S18" s="21">
        <v>1410</v>
      </c>
      <c r="T18" s="21">
        <v>1570</v>
      </c>
      <c r="U18" s="21">
        <v>1770</v>
      </c>
      <c r="V18" s="17">
        <f t="shared" si="1"/>
        <v>1.4720670391061452</v>
      </c>
    </row>
    <row r="19" spans="1:23" x14ac:dyDescent="0.35">
      <c r="A19" t="s">
        <v>204</v>
      </c>
      <c r="B19" s="6" t="s">
        <v>31</v>
      </c>
      <c r="C19" s="14">
        <v>128</v>
      </c>
      <c r="D19" s="14">
        <v>116</v>
      </c>
      <c r="E19" s="14">
        <v>132</v>
      </c>
      <c r="F19" s="14">
        <v>128</v>
      </c>
      <c r="G19" s="14">
        <v>176</v>
      </c>
      <c r="H19" s="14">
        <v>188</v>
      </c>
      <c r="I19" s="14">
        <v>134</v>
      </c>
      <c r="J19" s="14"/>
      <c r="K19" s="17">
        <f t="shared" si="0"/>
        <v>4.6875E-2</v>
      </c>
      <c r="L19" s="17"/>
      <c r="M19" s="162" t="s">
        <v>204</v>
      </c>
      <c r="N19" s="163" t="s">
        <v>31</v>
      </c>
      <c r="O19" s="21">
        <v>506</v>
      </c>
      <c r="P19" s="21">
        <v>525</v>
      </c>
      <c r="Q19" s="21">
        <v>538</v>
      </c>
      <c r="R19" s="21">
        <v>530</v>
      </c>
      <c r="S19" s="21">
        <v>563</v>
      </c>
      <c r="T19" s="21">
        <v>617</v>
      </c>
      <c r="U19" s="21">
        <v>576</v>
      </c>
      <c r="V19" s="17">
        <f t="shared" si="1"/>
        <v>0.13833992094861661</v>
      </c>
    </row>
    <row r="20" spans="1:23" x14ac:dyDescent="0.35">
      <c r="A20" t="s">
        <v>210</v>
      </c>
      <c r="B20" s="6" t="s">
        <v>33</v>
      </c>
      <c r="C20" s="14">
        <v>148</v>
      </c>
      <c r="D20" s="14">
        <v>131</v>
      </c>
      <c r="E20" s="14">
        <v>76</v>
      </c>
      <c r="F20" s="14">
        <v>74</v>
      </c>
      <c r="G20" s="14">
        <v>81</v>
      </c>
      <c r="H20" s="14">
        <v>74</v>
      </c>
      <c r="I20" s="14">
        <v>76</v>
      </c>
      <c r="J20" s="14"/>
      <c r="K20" s="19">
        <f t="shared" si="0"/>
        <v>-0.48648648648648651</v>
      </c>
      <c r="L20" s="19"/>
      <c r="M20" s="162" t="s">
        <v>210</v>
      </c>
      <c r="N20" s="163" t="s">
        <v>33</v>
      </c>
      <c r="O20" s="21">
        <v>514</v>
      </c>
      <c r="P20" s="21">
        <v>569</v>
      </c>
      <c r="Q20" s="21">
        <v>548</v>
      </c>
      <c r="R20" s="21">
        <v>483</v>
      </c>
      <c r="S20" s="21">
        <v>406</v>
      </c>
      <c r="T20" s="21">
        <v>374</v>
      </c>
      <c r="U20" s="21">
        <v>345</v>
      </c>
      <c r="V20" s="19">
        <f t="shared" si="1"/>
        <v>-0.32879377431906615</v>
      </c>
    </row>
    <row r="21" spans="1:23" x14ac:dyDescent="0.35">
      <c r="A21" t="s">
        <v>205</v>
      </c>
      <c r="B21" s="15" t="s">
        <v>170</v>
      </c>
      <c r="C21" s="14">
        <v>252</v>
      </c>
      <c r="D21" s="14">
        <v>122</v>
      </c>
      <c r="E21" s="14">
        <v>167</v>
      </c>
      <c r="F21" s="16" t="s">
        <v>4</v>
      </c>
      <c r="G21" s="16" t="s">
        <v>4</v>
      </c>
      <c r="H21" s="16" t="s">
        <v>4</v>
      </c>
      <c r="I21" s="14">
        <v>210</v>
      </c>
      <c r="J21" s="14"/>
      <c r="K21" s="19">
        <f t="shared" si="0"/>
        <v>-0.16666666666666666</v>
      </c>
      <c r="L21" s="19"/>
      <c r="M21" t="s">
        <v>205</v>
      </c>
      <c r="N21" s="15" t="s">
        <v>170</v>
      </c>
      <c r="O21" s="21">
        <v>752</v>
      </c>
      <c r="P21" s="21">
        <v>713</v>
      </c>
      <c r="Q21" s="21">
        <v>716</v>
      </c>
      <c r="R21" s="21">
        <v>497</v>
      </c>
      <c r="S21" s="21">
        <v>329</v>
      </c>
      <c r="T21" s="21">
        <v>126</v>
      </c>
      <c r="U21" s="21">
        <v>337</v>
      </c>
      <c r="V21" s="19">
        <f t="shared" si="1"/>
        <v>-0.55186170212765961</v>
      </c>
    </row>
    <row r="22" spans="1:23" x14ac:dyDescent="0.35">
      <c r="A22" t="s">
        <v>205</v>
      </c>
      <c r="B22" s="6" t="s">
        <v>169</v>
      </c>
      <c r="C22" s="14">
        <v>420</v>
      </c>
      <c r="D22" s="14">
        <v>262</v>
      </c>
      <c r="E22" s="14">
        <v>327</v>
      </c>
      <c r="F22" s="14">
        <v>231</v>
      </c>
      <c r="G22" s="14">
        <v>204</v>
      </c>
      <c r="H22" s="14">
        <v>252</v>
      </c>
      <c r="I22" s="14">
        <v>237</v>
      </c>
      <c r="J22" s="14"/>
      <c r="K22" s="19">
        <f t="shared" si="0"/>
        <v>-0.43571428571428572</v>
      </c>
      <c r="L22" s="19"/>
      <c r="M22" t="s">
        <v>205</v>
      </c>
      <c r="N22" s="6" t="s">
        <v>169</v>
      </c>
      <c r="O22" s="21">
        <v>1781</v>
      </c>
      <c r="P22" s="21">
        <v>1676</v>
      </c>
      <c r="Q22" s="21">
        <v>1576</v>
      </c>
      <c r="R22" s="21">
        <v>1388</v>
      </c>
      <c r="S22" s="21">
        <v>1258</v>
      </c>
      <c r="T22" s="21">
        <v>1240</v>
      </c>
      <c r="U22" s="21">
        <v>1155</v>
      </c>
      <c r="V22" s="19">
        <f t="shared" si="1"/>
        <v>-0.35148792813026392</v>
      </c>
    </row>
    <row r="23" spans="1:23" x14ac:dyDescent="0.35">
      <c r="A23" t="s">
        <v>214</v>
      </c>
      <c r="B23" s="6" t="s">
        <v>34</v>
      </c>
      <c r="C23" s="14">
        <v>214</v>
      </c>
      <c r="D23" s="14">
        <v>240</v>
      </c>
      <c r="E23" s="14">
        <v>232</v>
      </c>
      <c r="F23" s="14">
        <v>228</v>
      </c>
      <c r="G23" s="14">
        <v>229</v>
      </c>
      <c r="H23" s="14">
        <v>235</v>
      </c>
      <c r="I23" s="14">
        <v>213</v>
      </c>
      <c r="J23" s="14"/>
      <c r="K23" s="17">
        <f t="shared" si="0"/>
        <v>-4.6728971962616819E-3</v>
      </c>
      <c r="L23" s="17"/>
      <c r="M23" t="s">
        <v>551</v>
      </c>
      <c r="N23" s="6" t="s">
        <v>34</v>
      </c>
      <c r="O23" s="21">
        <v>601</v>
      </c>
      <c r="P23" s="21">
        <v>709</v>
      </c>
      <c r="Q23" s="21">
        <v>731</v>
      </c>
      <c r="R23" s="21">
        <v>755</v>
      </c>
      <c r="S23" s="21">
        <v>758</v>
      </c>
      <c r="T23" s="21">
        <v>788</v>
      </c>
      <c r="U23" s="21">
        <v>745</v>
      </c>
      <c r="V23" s="17">
        <f t="shared" si="1"/>
        <v>0.23960066555740434</v>
      </c>
    </row>
    <row r="24" spans="1:23" x14ac:dyDescent="0.35">
      <c r="A24" t="s">
        <v>205</v>
      </c>
      <c r="B24" s="6" t="s">
        <v>171</v>
      </c>
      <c r="C24" s="14">
        <v>316</v>
      </c>
      <c r="D24" s="14">
        <v>364</v>
      </c>
      <c r="E24" s="14">
        <v>403</v>
      </c>
      <c r="F24" s="14">
        <v>402</v>
      </c>
      <c r="G24" s="14">
        <v>435</v>
      </c>
      <c r="H24" s="14">
        <v>429</v>
      </c>
      <c r="I24" s="14">
        <v>398</v>
      </c>
      <c r="J24" s="14"/>
      <c r="K24" s="17">
        <f t="shared" si="0"/>
        <v>0.25949367088607594</v>
      </c>
      <c r="L24" s="17"/>
      <c r="M24" t="s">
        <v>205</v>
      </c>
      <c r="N24" s="6" t="s">
        <v>171</v>
      </c>
      <c r="O24" s="21">
        <v>829</v>
      </c>
      <c r="P24" s="21">
        <v>997</v>
      </c>
      <c r="Q24" s="21">
        <v>1093</v>
      </c>
      <c r="R24" s="21">
        <v>1098</v>
      </c>
      <c r="S24" s="21">
        <v>1220</v>
      </c>
      <c r="T24" s="21">
        <v>1297</v>
      </c>
      <c r="U24" s="21">
        <v>1276</v>
      </c>
      <c r="V24" s="17">
        <f t="shared" si="1"/>
        <v>0.53920386007237631</v>
      </c>
    </row>
    <row r="25" spans="1:23" x14ac:dyDescent="0.35">
      <c r="A25" t="s">
        <v>206</v>
      </c>
      <c r="B25" s="6" t="s">
        <v>35</v>
      </c>
      <c r="C25" s="14">
        <v>188</v>
      </c>
      <c r="D25" s="14">
        <v>173</v>
      </c>
      <c r="E25" s="14">
        <v>181</v>
      </c>
      <c r="F25" s="14">
        <v>211</v>
      </c>
      <c r="G25" s="14">
        <v>217</v>
      </c>
      <c r="H25" s="14">
        <v>182</v>
      </c>
      <c r="I25" s="14">
        <v>157</v>
      </c>
      <c r="J25" s="14"/>
      <c r="K25" s="19">
        <f t="shared" si="0"/>
        <v>-0.16489361702127658</v>
      </c>
      <c r="L25" s="19"/>
      <c r="M25" t="s">
        <v>206</v>
      </c>
      <c r="N25" s="6" t="s">
        <v>35</v>
      </c>
      <c r="O25" s="21">
        <v>372</v>
      </c>
      <c r="P25" s="21">
        <v>457</v>
      </c>
      <c r="Q25" s="21">
        <v>494</v>
      </c>
      <c r="R25" s="21">
        <v>533</v>
      </c>
      <c r="S25" s="21">
        <v>568</v>
      </c>
      <c r="T25" s="21">
        <v>595</v>
      </c>
      <c r="U25" s="21">
        <v>612</v>
      </c>
      <c r="V25" s="17">
        <f t="shared" si="1"/>
        <v>0.64516129032258063</v>
      </c>
    </row>
    <row r="26" spans="1:23" x14ac:dyDescent="0.35">
      <c r="A26" t="s">
        <v>215</v>
      </c>
      <c r="B26" s="6" t="s">
        <v>175</v>
      </c>
      <c r="C26" s="14">
        <v>668</v>
      </c>
      <c r="D26" s="14">
        <v>331</v>
      </c>
      <c r="E26" s="14">
        <v>353</v>
      </c>
      <c r="F26" s="14">
        <v>340</v>
      </c>
      <c r="G26" s="14">
        <v>316</v>
      </c>
      <c r="H26" s="14">
        <v>342</v>
      </c>
      <c r="I26" s="14">
        <v>408</v>
      </c>
      <c r="J26" s="14"/>
      <c r="K26" s="19">
        <f t="shared" si="0"/>
        <v>-0.38922155688622756</v>
      </c>
      <c r="L26" s="19"/>
      <c r="M26" s="162" t="s">
        <v>215</v>
      </c>
      <c r="N26" s="163" t="s">
        <v>175</v>
      </c>
      <c r="O26" s="21">
        <v>1789</v>
      </c>
      <c r="P26" s="21">
        <v>1706</v>
      </c>
      <c r="Q26" s="21">
        <v>1673</v>
      </c>
      <c r="R26" s="21">
        <v>1603</v>
      </c>
      <c r="S26" s="21">
        <v>1463</v>
      </c>
      <c r="T26" s="21">
        <v>1427</v>
      </c>
      <c r="U26" s="21">
        <v>1445</v>
      </c>
      <c r="V26" s="19">
        <f t="shared" si="1"/>
        <v>-0.19228619340413639</v>
      </c>
    </row>
    <row r="27" spans="1:23" x14ac:dyDescent="0.35">
      <c r="A27" t="s">
        <v>215</v>
      </c>
      <c r="B27" s="6" t="s">
        <v>176</v>
      </c>
      <c r="C27" s="14">
        <v>160</v>
      </c>
      <c r="D27" s="14">
        <v>162</v>
      </c>
      <c r="E27" s="14">
        <v>120</v>
      </c>
      <c r="F27" s="14">
        <v>153</v>
      </c>
      <c r="G27" s="14">
        <v>120</v>
      </c>
      <c r="H27" s="14">
        <v>159</v>
      </c>
      <c r="I27" s="14">
        <v>118</v>
      </c>
      <c r="J27" s="14"/>
      <c r="K27" s="19">
        <f t="shared" si="0"/>
        <v>-0.26250000000000001</v>
      </c>
      <c r="L27" s="19"/>
      <c r="M27" s="162" t="s">
        <v>215</v>
      </c>
      <c r="N27" s="163" t="s">
        <v>176</v>
      </c>
      <c r="O27" s="21">
        <v>452</v>
      </c>
      <c r="P27" s="21">
        <v>553</v>
      </c>
      <c r="Q27" s="21">
        <v>530</v>
      </c>
      <c r="R27" s="21">
        <v>555</v>
      </c>
      <c r="S27" s="21">
        <v>536</v>
      </c>
      <c r="T27" s="21">
        <v>525</v>
      </c>
      <c r="U27" s="21">
        <v>488</v>
      </c>
      <c r="V27" s="17">
        <f t="shared" si="1"/>
        <v>7.9646017699115043E-2</v>
      </c>
    </row>
    <row r="28" spans="1:23" x14ac:dyDescent="0.35">
      <c r="A28" t="s">
        <v>215</v>
      </c>
      <c r="B28" s="6" t="s">
        <v>177</v>
      </c>
      <c r="C28" s="14">
        <v>317</v>
      </c>
      <c r="D28" s="14">
        <v>246</v>
      </c>
      <c r="E28" s="14">
        <v>220</v>
      </c>
      <c r="F28" s="14">
        <v>330</v>
      </c>
      <c r="G28" s="14">
        <v>275</v>
      </c>
      <c r="H28" s="14">
        <v>263</v>
      </c>
      <c r="I28" s="14">
        <v>210</v>
      </c>
      <c r="J28" s="14"/>
      <c r="K28" s="19">
        <f t="shared" si="0"/>
        <v>-0.33753943217665616</v>
      </c>
      <c r="L28" s="19"/>
      <c r="M28" s="162" t="s">
        <v>215</v>
      </c>
      <c r="N28" s="163" t="s">
        <v>177</v>
      </c>
      <c r="O28" s="21">
        <v>1022</v>
      </c>
      <c r="P28" s="21">
        <v>1015</v>
      </c>
      <c r="Q28" s="21">
        <v>1044</v>
      </c>
      <c r="R28" s="21">
        <v>1139</v>
      </c>
      <c r="S28" s="21">
        <v>1130</v>
      </c>
      <c r="T28" s="21">
        <v>1136</v>
      </c>
      <c r="U28" s="21">
        <v>1055</v>
      </c>
      <c r="V28" s="17">
        <f t="shared" si="1"/>
        <v>3.2289628180039137E-2</v>
      </c>
    </row>
    <row r="29" spans="1:23" x14ac:dyDescent="0.35">
      <c r="A29" t="s">
        <v>216</v>
      </c>
      <c r="B29" s="15" t="s">
        <v>38</v>
      </c>
      <c r="C29" s="14">
        <v>214</v>
      </c>
      <c r="D29" s="14">
        <v>183</v>
      </c>
      <c r="E29" s="14">
        <v>192</v>
      </c>
      <c r="F29" s="16" t="s">
        <v>4</v>
      </c>
      <c r="G29" s="16" t="s">
        <v>4</v>
      </c>
      <c r="H29" s="16" t="s">
        <v>4</v>
      </c>
      <c r="I29" s="16" t="s">
        <v>4</v>
      </c>
      <c r="J29" s="16"/>
      <c r="K29" s="20" t="s">
        <v>4</v>
      </c>
      <c r="L29" s="20"/>
      <c r="M29" t="s">
        <v>216</v>
      </c>
      <c r="N29" s="15" t="s">
        <v>38</v>
      </c>
      <c r="O29" s="21">
        <v>792</v>
      </c>
      <c r="P29" s="21">
        <v>794</v>
      </c>
      <c r="Q29" s="21">
        <v>804</v>
      </c>
      <c r="R29" s="21">
        <v>588</v>
      </c>
      <c r="S29" s="21">
        <v>370</v>
      </c>
      <c r="T29" s="21">
        <v>103</v>
      </c>
      <c r="U29" s="21">
        <v>45</v>
      </c>
      <c r="V29" s="19">
        <f t="shared" si="1"/>
        <v>-0.94318181818181823</v>
      </c>
      <c r="W29" s="27" t="s">
        <v>303</v>
      </c>
    </row>
    <row r="30" spans="1:23" x14ac:dyDescent="0.35">
      <c r="A30" t="s">
        <v>210</v>
      </c>
      <c r="B30" s="6" t="s">
        <v>39</v>
      </c>
      <c r="C30" s="14">
        <v>229</v>
      </c>
      <c r="D30" s="14">
        <v>243</v>
      </c>
      <c r="E30" s="14">
        <v>235</v>
      </c>
      <c r="F30" s="14">
        <v>205</v>
      </c>
      <c r="G30" s="14">
        <v>231</v>
      </c>
      <c r="H30" s="14">
        <v>246</v>
      </c>
      <c r="I30" s="14">
        <v>233</v>
      </c>
      <c r="J30" s="14"/>
      <c r="K30" s="17">
        <f t="shared" ref="K30:K37" si="2">(I30-C30)/C30</f>
        <v>1.7467248908296942E-2</v>
      </c>
      <c r="L30" s="17"/>
      <c r="M30" s="162" t="s">
        <v>210</v>
      </c>
      <c r="N30" s="163" t="s">
        <v>39</v>
      </c>
      <c r="O30" s="21">
        <v>646</v>
      </c>
      <c r="P30" s="21">
        <v>813</v>
      </c>
      <c r="Q30" s="21">
        <v>887</v>
      </c>
      <c r="R30" s="21">
        <v>938</v>
      </c>
      <c r="S30" s="21">
        <v>941</v>
      </c>
      <c r="T30" s="21">
        <v>1035</v>
      </c>
      <c r="U30" s="21">
        <v>1029</v>
      </c>
      <c r="V30" s="17">
        <f t="shared" si="1"/>
        <v>0.59287925696594423</v>
      </c>
    </row>
    <row r="31" spans="1:23" x14ac:dyDescent="0.35">
      <c r="A31" t="s">
        <v>205</v>
      </c>
      <c r="B31" s="6" t="s">
        <v>41</v>
      </c>
      <c r="C31" s="14">
        <v>121</v>
      </c>
      <c r="D31" s="14">
        <v>199</v>
      </c>
      <c r="E31" s="14">
        <v>114</v>
      </c>
      <c r="F31" s="14">
        <v>122</v>
      </c>
      <c r="G31" s="14">
        <v>164</v>
      </c>
      <c r="H31" s="14">
        <v>167</v>
      </c>
      <c r="I31" s="14">
        <v>173</v>
      </c>
      <c r="J31" s="14"/>
      <c r="K31" s="17">
        <f t="shared" si="2"/>
        <v>0.42975206611570249</v>
      </c>
      <c r="L31" s="17"/>
      <c r="M31" t="s">
        <v>205</v>
      </c>
      <c r="N31" s="6" t="s">
        <v>41</v>
      </c>
      <c r="O31" s="21">
        <v>326</v>
      </c>
      <c r="P31" s="21">
        <v>456</v>
      </c>
      <c r="Q31" s="21">
        <v>462</v>
      </c>
      <c r="R31" s="21">
        <v>501</v>
      </c>
      <c r="S31" s="21">
        <v>519</v>
      </c>
      <c r="T31" s="21">
        <v>522</v>
      </c>
      <c r="U31" s="21">
        <v>547</v>
      </c>
      <c r="V31" s="17">
        <f t="shared" si="1"/>
        <v>0.67791411042944782</v>
      </c>
    </row>
    <row r="32" spans="1:23" x14ac:dyDescent="0.35">
      <c r="A32" t="s">
        <v>212</v>
      </c>
      <c r="B32" s="6" t="s">
        <v>44</v>
      </c>
      <c r="C32" s="14">
        <v>338</v>
      </c>
      <c r="D32" s="14">
        <v>350</v>
      </c>
      <c r="E32" s="14">
        <v>370</v>
      </c>
      <c r="F32" s="14">
        <v>350</v>
      </c>
      <c r="G32" s="14">
        <v>350</v>
      </c>
      <c r="H32" s="14">
        <v>346</v>
      </c>
      <c r="I32" s="14">
        <v>353</v>
      </c>
      <c r="J32" s="14"/>
      <c r="K32" s="17">
        <f t="shared" si="2"/>
        <v>4.4378698224852069E-2</v>
      </c>
      <c r="L32" s="17"/>
      <c r="M32" s="166" t="s">
        <v>212</v>
      </c>
      <c r="N32" s="167" t="s">
        <v>44</v>
      </c>
      <c r="O32" s="21">
        <v>828</v>
      </c>
      <c r="P32" s="21">
        <v>963</v>
      </c>
      <c r="Q32" s="21">
        <v>1075</v>
      </c>
      <c r="R32" s="21">
        <v>1134</v>
      </c>
      <c r="S32" s="21">
        <v>1134</v>
      </c>
      <c r="T32" s="21">
        <v>1148</v>
      </c>
      <c r="U32" s="21">
        <v>1121</v>
      </c>
      <c r="V32" s="17">
        <f t="shared" si="1"/>
        <v>0.35386473429951693</v>
      </c>
    </row>
    <row r="33" spans="1:22" x14ac:dyDescent="0.35">
      <c r="A33" t="s">
        <v>200</v>
      </c>
      <c r="B33" s="6" t="s">
        <v>184</v>
      </c>
      <c r="C33" s="14">
        <v>248</v>
      </c>
      <c r="D33" s="14">
        <v>199</v>
      </c>
      <c r="E33" s="14">
        <v>172</v>
      </c>
      <c r="F33" s="14">
        <v>142</v>
      </c>
      <c r="G33" s="14">
        <v>155</v>
      </c>
      <c r="H33" s="14">
        <v>165</v>
      </c>
      <c r="I33" s="14">
        <v>128</v>
      </c>
      <c r="J33" s="14"/>
      <c r="K33" s="19">
        <f t="shared" si="2"/>
        <v>-0.4838709677419355</v>
      </c>
      <c r="L33" s="19"/>
      <c r="M33" s="162" t="s">
        <v>200</v>
      </c>
      <c r="N33" s="163" t="s">
        <v>184</v>
      </c>
      <c r="O33" s="21">
        <v>526</v>
      </c>
      <c r="P33" s="21">
        <v>593</v>
      </c>
      <c r="Q33" s="21">
        <v>621</v>
      </c>
      <c r="R33" s="21">
        <v>648</v>
      </c>
      <c r="S33" s="21">
        <v>644</v>
      </c>
      <c r="T33" s="21">
        <v>655</v>
      </c>
      <c r="U33" s="21">
        <v>627</v>
      </c>
      <c r="V33" s="17">
        <f t="shared" si="1"/>
        <v>0.19201520912547529</v>
      </c>
    </row>
    <row r="34" spans="1:22" x14ac:dyDescent="0.35">
      <c r="A34" t="s">
        <v>209</v>
      </c>
      <c r="B34" s="6" t="s">
        <v>178</v>
      </c>
      <c r="C34" s="14">
        <v>355</v>
      </c>
      <c r="D34" s="14">
        <v>218</v>
      </c>
      <c r="E34" s="14">
        <v>241</v>
      </c>
      <c r="F34" s="14">
        <v>230</v>
      </c>
      <c r="G34" s="14">
        <v>263</v>
      </c>
      <c r="H34" s="14">
        <v>350</v>
      </c>
      <c r="I34" s="14">
        <v>289</v>
      </c>
      <c r="J34" s="14"/>
      <c r="K34" s="19">
        <f t="shared" si="2"/>
        <v>-0.18591549295774648</v>
      </c>
      <c r="L34" s="19"/>
      <c r="M34" s="166" t="s">
        <v>209</v>
      </c>
      <c r="N34" s="167" t="s">
        <v>178</v>
      </c>
      <c r="O34" s="21">
        <v>1059</v>
      </c>
      <c r="P34" s="21">
        <v>947</v>
      </c>
      <c r="Q34" s="21">
        <v>971</v>
      </c>
      <c r="R34" s="21">
        <v>976</v>
      </c>
      <c r="S34" s="21">
        <v>985</v>
      </c>
      <c r="T34" s="21">
        <v>1059</v>
      </c>
      <c r="U34" s="21">
        <v>1019</v>
      </c>
      <c r="V34" s="19">
        <f t="shared" si="1"/>
        <v>-3.7771482530689328E-2</v>
      </c>
    </row>
    <row r="35" spans="1:22" x14ac:dyDescent="0.35">
      <c r="A35" t="s">
        <v>209</v>
      </c>
      <c r="B35" s="6" t="s">
        <v>45</v>
      </c>
      <c r="C35" s="14">
        <v>395</v>
      </c>
      <c r="D35" s="14">
        <v>370</v>
      </c>
      <c r="E35" s="14">
        <v>486</v>
      </c>
      <c r="F35" s="14">
        <v>448</v>
      </c>
      <c r="G35" s="14">
        <v>432</v>
      </c>
      <c r="H35" s="14">
        <v>367</v>
      </c>
      <c r="I35" s="14">
        <v>314</v>
      </c>
      <c r="J35" s="14"/>
      <c r="K35" s="19">
        <f t="shared" si="2"/>
        <v>-0.20506329113924052</v>
      </c>
      <c r="L35" s="19"/>
      <c r="M35" s="166" t="s">
        <v>209</v>
      </c>
      <c r="N35" s="167" t="s">
        <v>45</v>
      </c>
      <c r="O35" s="21">
        <v>1254</v>
      </c>
      <c r="P35" s="21">
        <v>1269</v>
      </c>
      <c r="Q35" s="21">
        <v>1301</v>
      </c>
      <c r="R35" s="21">
        <v>1301</v>
      </c>
      <c r="S35" s="21">
        <v>1339</v>
      </c>
      <c r="T35" s="21">
        <v>1299</v>
      </c>
      <c r="U35" s="21">
        <v>1193</v>
      </c>
      <c r="V35" s="19">
        <f t="shared" si="1"/>
        <v>-4.864433811802233E-2</v>
      </c>
    </row>
    <row r="36" spans="1:22" x14ac:dyDescent="0.35">
      <c r="A36" t="s">
        <v>209</v>
      </c>
      <c r="B36" s="6" t="s">
        <v>46</v>
      </c>
      <c r="C36" s="14">
        <v>247</v>
      </c>
      <c r="D36" s="14">
        <v>195</v>
      </c>
      <c r="E36" s="14">
        <v>178</v>
      </c>
      <c r="F36" s="14">
        <v>187</v>
      </c>
      <c r="G36" s="14">
        <v>163</v>
      </c>
      <c r="H36" s="14">
        <v>169</v>
      </c>
      <c r="I36" s="14">
        <v>380</v>
      </c>
      <c r="J36" s="14"/>
      <c r="K36" s="17">
        <f t="shared" si="2"/>
        <v>0.53846153846153844</v>
      </c>
      <c r="L36" s="17"/>
      <c r="M36" s="166" t="s">
        <v>209</v>
      </c>
      <c r="N36" s="167" t="s">
        <v>46</v>
      </c>
      <c r="O36" s="21">
        <v>646</v>
      </c>
      <c r="P36" s="21">
        <v>616</v>
      </c>
      <c r="Q36" s="21">
        <v>640</v>
      </c>
      <c r="R36" s="21">
        <v>614</v>
      </c>
      <c r="S36" s="21">
        <v>566</v>
      </c>
      <c r="T36" s="21">
        <v>571</v>
      </c>
      <c r="U36" s="21">
        <v>812</v>
      </c>
      <c r="V36" s="17">
        <f t="shared" si="1"/>
        <v>0.25696594427244585</v>
      </c>
    </row>
    <row r="37" spans="1:22" x14ac:dyDescent="0.35">
      <c r="A37" t="s">
        <v>209</v>
      </c>
      <c r="B37" s="6" t="s">
        <v>179</v>
      </c>
      <c r="C37" s="14">
        <v>97</v>
      </c>
      <c r="D37" s="14">
        <v>105</v>
      </c>
      <c r="E37" s="14">
        <v>102</v>
      </c>
      <c r="F37" s="14">
        <v>117</v>
      </c>
      <c r="G37" s="14">
        <v>124</v>
      </c>
      <c r="H37" s="14">
        <v>166</v>
      </c>
      <c r="I37" s="14">
        <v>142</v>
      </c>
      <c r="J37" s="14"/>
      <c r="K37" s="17">
        <f t="shared" si="2"/>
        <v>0.46391752577319589</v>
      </c>
      <c r="L37" s="17"/>
      <c r="M37" s="166" t="s">
        <v>209</v>
      </c>
      <c r="N37" s="167" t="s">
        <v>179</v>
      </c>
      <c r="O37" s="21">
        <v>269</v>
      </c>
      <c r="P37" s="21">
        <v>308</v>
      </c>
      <c r="Q37" s="21">
        <v>314</v>
      </c>
      <c r="R37" s="21">
        <v>349</v>
      </c>
      <c r="S37" s="21">
        <v>381</v>
      </c>
      <c r="T37" s="21">
        <v>438</v>
      </c>
      <c r="U37" s="21">
        <v>460</v>
      </c>
      <c r="V37" s="17">
        <f t="shared" si="1"/>
        <v>0.71003717472118955</v>
      </c>
    </row>
    <row r="38" spans="1:22" x14ac:dyDescent="0.35">
      <c r="A38" t="s">
        <v>209</v>
      </c>
      <c r="B38" s="15" t="s">
        <v>185</v>
      </c>
      <c r="C38" s="16" t="s">
        <v>4</v>
      </c>
      <c r="D38" s="16" t="s">
        <v>4</v>
      </c>
      <c r="E38" s="16" t="s">
        <v>4</v>
      </c>
      <c r="F38" s="16" t="s">
        <v>4</v>
      </c>
      <c r="G38" s="14">
        <v>54</v>
      </c>
      <c r="H38" s="14">
        <v>66</v>
      </c>
      <c r="I38" s="14">
        <v>69</v>
      </c>
      <c r="J38" s="14"/>
      <c r="K38" s="20" t="s">
        <v>4</v>
      </c>
      <c r="L38" s="20"/>
      <c r="M38" s="166" t="s">
        <v>209</v>
      </c>
      <c r="N38" s="167" t="s">
        <v>552</v>
      </c>
      <c r="O38" s="22" t="s">
        <v>4</v>
      </c>
      <c r="P38" s="22" t="s">
        <v>4</v>
      </c>
      <c r="Q38" s="22" t="s">
        <v>4</v>
      </c>
      <c r="R38" s="22" t="s">
        <v>4</v>
      </c>
      <c r="S38" s="21">
        <v>98</v>
      </c>
      <c r="T38" s="21">
        <v>202</v>
      </c>
      <c r="U38" s="21">
        <v>281</v>
      </c>
      <c r="V38" s="17">
        <f>(U38-S38)/S38</f>
        <v>1.8673469387755102</v>
      </c>
    </row>
    <row r="39" spans="1:22" x14ac:dyDescent="0.35">
      <c r="A39" t="s">
        <v>215</v>
      </c>
      <c r="B39" s="6" t="s">
        <v>47</v>
      </c>
      <c r="C39" s="14">
        <v>215</v>
      </c>
      <c r="D39" s="14">
        <v>183</v>
      </c>
      <c r="E39" s="14">
        <v>193</v>
      </c>
      <c r="F39" s="14">
        <v>190</v>
      </c>
      <c r="G39" s="14">
        <v>186</v>
      </c>
      <c r="H39" s="14">
        <v>200</v>
      </c>
      <c r="I39" s="14">
        <v>171</v>
      </c>
      <c r="J39" s="14"/>
      <c r="K39" s="19">
        <f>(I39-C39)/C39</f>
        <v>-0.20465116279069767</v>
      </c>
      <c r="L39" s="19"/>
      <c r="M39" s="162" t="s">
        <v>215</v>
      </c>
      <c r="N39" s="163" t="s">
        <v>47</v>
      </c>
      <c r="O39" s="21">
        <v>972</v>
      </c>
      <c r="P39" s="21">
        <v>1007</v>
      </c>
      <c r="Q39" s="21">
        <v>1015</v>
      </c>
      <c r="R39" s="21">
        <v>994</v>
      </c>
      <c r="S39" s="21">
        <v>949</v>
      </c>
      <c r="T39" s="21">
        <v>892</v>
      </c>
      <c r="U39" s="21">
        <v>870</v>
      </c>
      <c r="V39" s="19">
        <f t="shared" si="1"/>
        <v>-0.10493827160493827</v>
      </c>
    </row>
    <row r="40" spans="1:22" x14ac:dyDescent="0.35">
      <c r="A40" t="s">
        <v>208</v>
      </c>
      <c r="B40" s="6" t="s">
        <v>48</v>
      </c>
      <c r="C40" s="14">
        <v>15</v>
      </c>
      <c r="D40" s="14">
        <v>35</v>
      </c>
      <c r="E40" s="14">
        <v>11</v>
      </c>
      <c r="F40" s="14">
        <v>7</v>
      </c>
      <c r="G40" s="14">
        <v>14</v>
      </c>
      <c r="H40" s="14">
        <v>15</v>
      </c>
      <c r="I40" s="1" t="s">
        <v>4</v>
      </c>
      <c r="J40" s="1"/>
      <c r="K40" s="20" t="s">
        <v>4</v>
      </c>
      <c r="L40" s="20"/>
      <c r="M40" s="162" t="s">
        <v>208</v>
      </c>
      <c r="N40" s="163" t="s">
        <v>48</v>
      </c>
      <c r="O40" s="21">
        <v>543</v>
      </c>
      <c r="P40" s="21">
        <v>437</v>
      </c>
      <c r="Q40" s="21">
        <v>422</v>
      </c>
      <c r="R40" s="21">
        <v>324</v>
      </c>
      <c r="S40" s="21">
        <v>224</v>
      </c>
      <c r="T40" s="21">
        <v>187</v>
      </c>
      <c r="U40" s="21">
        <v>137</v>
      </c>
      <c r="V40" s="19">
        <f t="shared" si="1"/>
        <v>-0.74769797421731121</v>
      </c>
    </row>
    <row r="41" spans="1:22" x14ac:dyDescent="0.35">
      <c r="A41" t="s">
        <v>212</v>
      </c>
      <c r="B41" s="6" t="s">
        <v>49</v>
      </c>
      <c r="C41" s="14">
        <v>314</v>
      </c>
      <c r="D41" s="14">
        <v>317</v>
      </c>
      <c r="E41" s="14">
        <v>225</v>
      </c>
      <c r="F41" s="14">
        <v>189</v>
      </c>
      <c r="G41" s="14">
        <v>242</v>
      </c>
      <c r="H41" s="14">
        <v>285</v>
      </c>
      <c r="I41" s="14">
        <v>179</v>
      </c>
      <c r="J41" s="14"/>
      <c r="K41" s="19">
        <f>(I41-C41)/C41</f>
        <v>-0.42993630573248409</v>
      </c>
      <c r="L41" s="19"/>
      <c r="M41" s="166" t="s">
        <v>212</v>
      </c>
      <c r="N41" s="167" t="s">
        <v>49</v>
      </c>
      <c r="O41" s="21">
        <v>896</v>
      </c>
      <c r="P41" s="21">
        <v>1012</v>
      </c>
      <c r="Q41" s="21">
        <v>982</v>
      </c>
      <c r="R41" s="21">
        <v>897</v>
      </c>
      <c r="S41" s="21">
        <v>904</v>
      </c>
      <c r="T41" s="21">
        <v>943</v>
      </c>
      <c r="U41" s="21">
        <v>844</v>
      </c>
      <c r="V41" s="19">
        <f t="shared" si="1"/>
        <v>-5.8035714285714288E-2</v>
      </c>
    </row>
    <row r="42" spans="1:22" x14ac:dyDescent="0.35">
      <c r="A42" t="s">
        <v>217</v>
      </c>
      <c r="B42" s="6" t="s">
        <v>51</v>
      </c>
      <c r="C42" s="14">
        <v>140</v>
      </c>
      <c r="D42" s="14">
        <v>314</v>
      </c>
      <c r="E42" s="14">
        <v>507</v>
      </c>
      <c r="F42" s="14">
        <v>540</v>
      </c>
      <c r="G42" s="14">
        <v>430</v>
      </c>
      <c r="H42" s="14">
        <v>555</v>
      </c>
      <c r="I42" s="14">
        <v>586</v>
      </c>
      <c r="J42" s="14"/>
      <c r="K42" s="17">
        <f>(I42-C42)/C42</f>
        <v>3.1857142857142855</v>
      </c>
      <c r="L42" s="17"/>
      <c r="M42" t="s">
        <v>217</v>
      </c>
      <c r="N42" s="6" t="s">
        <v>51</v>
      </c>
      <c r="O42" s="21">
        <v>616</v>
      </c>
      <c r="P42" s="21">
        <v>808</v>
      </c>
      <c r="Q42" s="21">
        <v>1141</v>
      </c>
      <c r="R42" s="21">
        <v>1402</v>
      </c>
      <c r="S42" s="21">
        <v>1478</v>
      </c>
      <c r="T42" s="21">
        <v>1674</v>
      </c>
      <c r="U42" s="21">
        <v>1854</v>
      </c>
      <c r="V42" s="17">
        <f t="shared" si="1"/>
        <v>2.0097402597402598</v>
      </c>
    </row>
    <row r="43" spans="1:22" x14ac:dyDescent="0.35">
      <c r="A43" t="s">
        <v>207</v>
      </c>
      <c r="B43" s="6" t="s">
        <v>52</v>
      </c>
      <c r="C43" s="14">
        <v>88</v>
      </c>
      <c r="D43" s="14">
        <v>161</v>
      </c>
      <c r="E43" s="14">
        <v>123</v>
      </c>
      <c r="F43" s="14">
        <v>97</v>
      </c>
      <c r="G43" s="14">
        <v>124</v>
      </c>
      <c r="H43" s="14">
        <v>149</v>
      </c>
      <c r="I43" s="14">
        <v>122</v>
      </c>
      <c r="J43" s="14"/>
      <c r="K43" s="17">
        <f>(I43-C43)/C43</f>
        <v>0.38636363636363635</v>
      </c>
      <c r="L43" s="17"/>
      <c r="M43" t="s">
        <v>207</v>
      </c>
      <c r="N43" s="6" t="s">
        <v>52</v>
      </c>
      <c r="O43" s="21">
        <v>305</v>
      </c>
      <c r="P43" s="21">
        <v>395</v>
      </c>
      <c r="Q43" s="21">
        <v>414</v>
      </c>
      <c r="R43" s="21">
        <v>420</v>
      </c>
      <c r="S43" s="21">
        <v>420</v>
      </c>
      <c r="T43" s="21">
        <v>452</v>
      </c>
      <c r="U43" s="21">
        <v>461</v>
      </c>
      <c r="V43" s="17">
        <f t="shared" si="1"/>
        <v>0.51147540983606554</v>
      </c>
    </row>
    <row r="44" spans="1:22" x14ac:dyDescent="0.35">
      <c r="A44" t="s">
        <v>218</v>
      </c>
      <c r="B44" s="6" t="s">
        <v>53</v>
      </c>
      <c r="C44" s="14">
        <v>258</v>
      </c>
      <c r="D44" s="14">
        <v>254</v>
      </c>
      <c r="E44" s="14">
        <v>218</v>
      </c>
      <c r="F44" s="14">
        <v>135</v>
      </c>
      <c r="G44" s="14">
        <v>122</v>
      </c>
      <c r="H44" s="14">
        <v>147</v>
      </c>
      <c r="I44" s="14">
        <v>150</v>
      </c>
      <c r="J44" s="14"/>
      <c r="K44" s="19">
        <f>(I44-C44)/C44</f>
        <v>-0.41860465116279072</v>
      </c>
      <c r="L44" s="19"/>
      <c r="M44" t="s">
        <v>553</v>
      </c>
      <c r="N44" s="6" t="s">
        <v>53</v>
      </c>
      <c r="O44" s="21">
        <v>620</v>
      </c>
      <c r="P44" s="21">
        <v>747</v>
      </c>
      <c r="Q44" s="21">
        <v>794</v>
      </c>
      <c r="R44" s="21">
        <v>685</v>
      </c>
      <c r="S44" s="21">
        <v>592</v>
      </c>
      <c r="T44" s="21">
        <v>535</v>
      </c>
      <c r="U44" s="21">
        <v>533</v>
      </c>
      <c r="V44" s="19">
        <f t="shared" si="1"/>
        <v>-0.14032258064516129</v>
      </c>
    </row>
    <row r="45" spans="1:22" x14ac:dyDescent="0.35">
      <c r="A45" t="s">
        <v>218</v>
      </c>
      <c r="B45" s="6" t="s">
        <v>55</v>
      </c>
      <c r="C45" s="14">
        <v>130</v>
      </c>
      <c r="D45" s="14">
        <v>104</v>
      </c>
      <c r="E45" s="14">
        <v>94</v>
      </c>
      <c r="F45" s="14">
        <v>101</v>
      </c>
      <c r="G45" s="14">
        <v>101</v>
      </c>
      <c r="H45" s="14">
        <v>115</v>
      </c>
      <c r="I45" s="14">
        <v>102</v>
      </c>
      <c r="J45" s="14"/>
      <c r="K45" s="19">
        <f>(I45-C45)/C45</f>
        <v>-0.2153846153846154</v>
      </c>
      <c r="L45" s="19"/>
      <c r="M45" t="s">
        <v>553</v>
      </c>
      <c r="N45" s="6" t="s">
        <v>55</v>
      </c>
      <c r="O45" s="21">
        <v>296</v>
      </c>
      <c r="P45" s="21">
        <v>277</v>
      </c>
      <c r="Q45" s="21">
        <v>297</v>
      </c>
      <c r="R45" s="21">
        <v>252</v>
      </c>
      <c r="S45" s="21">
        <v>262</v>
      </c>
      <c r="T45" s="21">
        <v>263</v>
      </c>
      <c r="U45" s="21">
        <v>273</v>
      </c>
      <c r="V45" s="19">
        <f t="shared" si="1"/>
        <v>-7.77027027027027E-2</v>
      </c>
    </row>
    <row r="46" spans="1:22" x14ac:dyDescent="0.35">
      <c r="A46" t="s">
        <v>7</v>
      </c>
      <c r="B46" s="6" t="s">
        <v>56</v>
      </c>
      <c r="C46" s="16" t="s">
        <v>4</v>
      </c>
      <c r="D46" s="16" t="s">
        <v>4</v>
      </c>
      <c r="E46" s="16" t="s">
        <v>4</v>
      </c>
      <c r="F46" s="16" t="s">
        <v>4</v>
      </c>
      <c r="G46" s="16" t="s">
        <v>4</v>
      </c>
      <c r="H46" s="16" t="s">
        <v>4</v>
      </c>
      <c r="I46" s="16" t="s">
        <v>4</v>
      </c>
      <c r="J46" s="16"/>
      <c r="K46" s="16" t="s">
        <v>4</v>
      </c>
      <c r="L46" s="16"/>
      <c r="M46" s="166" t="s">
        <v>7</v>
      </c>
      <c r="N46" s="167" t="s">
        <v>56</v>
      </c>
      <c r="O46" s="21">
        <v>113</v>
      </c>
      <c r="P46" s="21">
        <v>83</v>
      </c>
      <c r="Q46" s="21">
        <v>45</v>
      </c>
      <c r="R46" s="21">
        <v>27</v>
      </c>
      <c r="S46" s="21">
        <v>14</v>
      </c>
      <c r="T46" s="21">
        <v>8</v>
      </c>
      <c r="U46" s="21">
        <v>4</v>
      </c>
      <c r="V46" s="19">
        <f t="shared" si="1"/>
        <v>-0.96460176991150437</v>
      </c>
    </row>
    <row r="47" spans="1:22" x14ac:dyDescent="0.35">
      <c r="A47" t="s">
        <v>216</v>
      </c>
      <c r="B47" s="6" t="s">
        <v>180</v>
      </c>
      <c r="C47" s="14">
        <v>606</v>
      </c>
      <c r="D47" s="14">
        <v>621</v>
      </c>
      <c r="E47" s="14">
        <v>616</v>
      </c>
      <c r="F47" s="14">
        <v>604</v>
      </c>
      <c r="G47" s="14">
        <v>624</v>
      </c>
      <c r="H47" s="14">
        <v>500</v>
      </c>
      <c r="I47" s="14">
        <v>649</v>
      </c>
      <c r="J47" s="14"/>
      <c r="K47" s="17">
        <f>(I47-C47)/C47</f>
        <v>7.0957095709570955E-2</v>
      </c>
      <c r="L47" s="17"/>
      <c r="M47" t="s">
        <v>216</v>
      </c>
      <c r="N47" s="6" t="s">
        <v>180</v>
      </c>
      <c r="O47" s="21">
        <v>1899</v>
      </c>
      <c r="P47" s="21">
        <v>2101</v>
      </c>
      <c r="Q47" s="21">
        <v>2251</v>
      </c>
      <c r="R47" s="21">
        <v>2325</v>
      </c>
      <c r="S47" s="21">
        <v>2310</v>
      </c>
      <c r="T47" s="21">
        <v>2173</v>
      </c>
      <c r="U47" s="21">
        <v>2195</v>
      </c>
      <c r="V47" s="17">
        <f t="shared" si="1"/>
        <v>0.15587151132174829</v>
      </c>
    </row>
    <row r="48" spans="1:22" x14ac:dyDescent="0.35">
      <c r="A48" t="s">
        <v>216</v>
      </c>
      <c r="B48" s="6" t="s">
        <v>58</v>
      </c>
      <c r="C48" s="14">
        <v>308</v>
      </c>
      <c r="D48" s="14">
        <v>396</v>
      </c>
      <c r="E48" s="14">
        <v>373</v>
      </c>
      <c r="F48" s="14">
        <v>340</v>
      </c>
      <c r="G48" s="14">
        <v>380</v>
      </c>
      <c r="H48" s="14">
        <v>272</v>
      </c>
      <c r="I48" s="14">
        <v>319</v>
      </c>
      <c r="J48" s="14"/>
      <c r="K48" s="17">
        <f>(I48-C48)/C48</f>
        <v>3.5714285714285712E-2</v>
      </c>
      <c r="L48" s="17"/>
      <c r="M48" t="s">
        <v>216</v>
      </c>
      <c r="N48" s="6" t="s">
        <v>58</v>
      </c>
      <c r="O48" s="21">
        <v>1125</v>
      </c>
      <c r="P48" s="21">
        <v>1298</v>
      </c>
      <c r="Q48" s="21">
        <v>1327</v>
      </c>
      <c r="R48" s="21">
        <v>1282</v>
      </c>
      <c r="S48" s="21">
        <v>1307</v>
      </c>
      <c r="T48" s="21">
        <v>1208</v>
      </c>
      <c r="U48" s="21">
        <v>1209</v>
      </c>
      <c r="V48" s="17">
        <f t="shared" si="1"/>
        <v>7.4666666666666673E-2</v>
      </c>
    </row>
    <row r="49" spans="1:24" x14ac:dyDescent="0.35">
      <c r="A49" t="s">
        <v>209</v>
      </c>
      <c r="B49" s="6" t="s">
        <v>59</v>
      </c>
      <c r="C49" s="14">
        <v>64</v>
      </c>
      <c r="D49" s="14">
        <v>90</v>
      </c>
      <c r="E49" s="14">
        <v>92</v>
      </c>
      <c r="F49" s="14">
        <v>96</v>
      </c>
      <c r="G49" s="14">
        <v>95</v>
      </c>
      <c r="H49" s="14">
        <v>93</v>
      </c>
      <c r="I49" s="14">
        <v>100</v>
      </c>
      <c r="J49" s="14"/>
      <c r="K49" s="17">
        <f>(I49-C49)/C49</f>
        <v>0.5625</v>
      </c>
      <c r="L49" s="17"/>
      <c r="M49" s="166" t="s">
        <v>209</v>
      </c>
      <c r="N49" s="167" t="s">
        <v>59</v>
      </c>
      <c r="O49" s="21">
        <v>1315</v>
      </c>
      <c r="P49" s="21">
        <v>1434</v>
      </c>
      <c r="Q49" s="21">
        <v>1533</v>
      </c>
      <c r="R49" s="21">
        <v>904</v>
      </c>
      <c r="S49" s="21">
        <v>955</v>
      </c>
      <c r="T49" s="21">
        <v>979</v>
      </c>
      <c r="U49" s="21">
        <v>921</v>
      </c>
      <c r="V49" s="19">
        <f t="shared" si="1"/>
        <v>-0.29961977186311789</v>
      </c>
    </row>
    <row r="50" spans="1:24" x14ac:dyDescent="0.35">
      <c r="A50" t="s">
        <v>209</v>
      </c>
      <c r="B50" s="6" t="s">
        <v>183</v>
      </c>
      <c r="C50" s="14">
        <v>143</v>
      </c>
      <c r="D50" s="14">
        <v>126</v>
      </c>
      <c r="E50" s="14">
        <v>96</v>
      </c>
      <c r="F50" s="14">
        <v>117</v>
      </c>
      <c r="G50" s="14">
        <v>126</v>
      </c>
      <c r="H50" s="14">
        <v>134</v>
      </c>
      <c r="I50" s="14">
        <v>214</v>
      </c>
      <c r="J50" s="14"/>
      <c r="K50" s="17">
        <f>(I50-C50)/C50</f>
        <v>0.49650349650349651</v>
      </c>
      <c r="L50" s="17"/>
      <c r="M50" s="166" t="s">
        <v>209</v>
      </c>
      <c r="N50" s="167" t="s">
        <v>183</v>
      </c>
      <c r="O50" s="21">
        <v>1059</v>
      </c>
      <c r="P50" s="21">
        <v>1133</v>
      </c>
      <c r="Q50" s="21">
        <v>1050</v>
      </c>
      <c r="R50" s="21">
        <v>1066</v>
      </c>
      <c r="S50" s="21">
        <v>1057</v>
      </c>
      <c r="T50" s="21">
        <v>1133</v>
      </c>
      <c r="U50" s="21">
        <v>1372</v>
      </c>
      <c r="V50" s="17">
        <f t="shared" si="1"/>
        <v>0.29556185080264402</v>
      </c>
    </row>
    <row r="51" spans="1:24" x14ac:dyDescent="0.35">
      <c r="B51" s="120" t="s">
        <v>528</v>
      </c>
      <c r="C51" s="121" t="s">
        <v>85</v>
      </c>
      <c r="D51" s="121" t="s">
        <v>186</v>
      </c>
      <c r="E51" s="121" t="s">
        <v>86</v>
      </c>
      <c r="F51" s="121" t="s">
        <v>188</v>
      </c>
      <c r="G51" s="121" t="s">
        <v>87</v>
      </c>
      <c r="H51" s="121" t="s">
        <v>187</v>
      </c>
      <c r="I51" s="121" t="s">
        <v>88</v>
      </c>
      <c r="J51" s="182" t="s">
        <v>301</v>
      </c>
      <c r="K51" s="182"/>
      <c r="N51" s="127" t="s">
        <v>528</v>
      </c>
      <c r="O51" s="128" t="s">
        <v>85</v>
      </c>
      <c r="P51" s="128" t="s">
        <v>186</v>
      </c>
      <c r="Q51" s="128" t="s">
        <v>86</v>
      </c>
      <c r="R51" s="128" t="s">
        <v>188</v>
      </c>
      <c r="S51" s="128" t="s">
        <v>87</v>
      </c>
      <c r="T51" s="128" t="s">
        <v>187</v>
      </c>
      <c r="U51" s="128" t="s">
        <v>88</v>
      </c>
      <c r="V51" s="129" t="s">
        <v>301</v>
      </c>
      <c r="W51" s="127"/>
    </row>
    <row r="52" spans="1:24" x14ac:dyDescent="0.35">
      <c r="B52" s="44" t="s">
        <v>81</v>
      </c>
      <c r="C52" s="45">
        <f t="shared" ref="C52:I52" si="3">SUM(C3:C50)</f>
        <v>10659</v>
      </c>
      <c r="D52" s="45">
        <f t="shared" si="3"/>
        <v>9919</v>
      </c>
      <c r="E52" s="45">
        <f t="shared" si="3"/>
        <v>10218</v>
      </c>
      <c r="F52" s="45">
        <f t="shared" si="3"/>
        <v>9620</v>
      </c>
      <c r="G52" s="45">
        <f t="shared" si="3"/>
        <v>9834</v>
      </c>
      <c r="H52" s="45">
        <f t="shared" si="3"/>
        <v>10127</v>
      </c>
      <c r="I52" s="123">
        <f t="shared" si="3"/>
        <v>10686</v>
      </c>
      <c r="J52" s="45"/>
      <c r="K52" s="46">
        <f>(I52-C52)/C52</f>
        <v>2.5330706445257528E-3</v>
      </c>
      <c r="L52" s="17"/>
      <c r="N52" s="48" t="s">
        <v>81</v>
      </c>
      <c r="O52" s="49">
        <f t="shared" ref="O52:U52" si="4">SUM(O3:O50)</f>
        <v>33929</v>
      </c>
      <c r="P52" s="49">
        <f t="shared" si="4"/>
        <v>37001</v>
      </c>
      <c r="Q52" s="49">
        <f t="shared" si="4"/>
        <v>39194</v>
      </c>
      <c r="R52" s="49">
        <f t="shared" si="4"/>
        <v>38693</v>
      </c>
      <c r="S52" s="49">
        <f t="shared" si="4"/>
        <v>38702</v>
      </c>
      <c r="T52" s="49">
        <f t="shared" si="4"/>
        <v>38873</v>
      </c>
      <c r="U52" s="122">
        <f t="shared" si="4"/>
        <v>39748</v>
      </c>
      <c r="V52" s="49"/>
      <c r="W52" s="60">
        <f>(U52-O52)/O52</f>
        <v>0.17150520203955319</v>
      </c>
    </row>
    <row r="53" spans="1:24" x14ac:dyDescent="0.35">
      <c r="B53" s="44" t="s">
        <v>189</v>
      </c>
      <c r="C53" s="47">
        <f t="shared" ref="C53:I53" si="5">AVERAGE(C3:C50)</f>
        <v>231.71739130434781</v>
      </c>
      <c r="D53" s="47">
        <f t="shared" si="5"/>
        <v>215.63043478260869</v>
      </c>
      <c r="E53" s="47">
        <f t="shared" si="5"/>
        <v>222.13043478260869</v>
      </c>
      <c r="F53" s="47">
        <f t="shared" si="5"/>
        <v>218.63636363636363</v>
      </c>
      <c r="G53" s="47">
        <f t="shared" si="5"/>
        <v>218.53333333333333</v>
      </c>
      <c r="H53" s="47">
        <f t="shared" si="5"/>
        <v>225.04444444444445</v>
      </c>
      <c r="I53" s="124">
        <f t="shared" si="5"/>
        <v>237.46666666666667</v>
      </c>
      <c r="J53" s="47"/>
      <c r="K53" s="46">
        <f>(I53-C53)/C53</f>
        <v>2.4811583325515276E-2</v>
      </c>
      <c r="L53" s="17"/>
      <c r="N53" s="48" t="s">
        <v>189</v>
      </c>
      <c r="O53" s="49">
        <f t="shared" ref="O53:U53" si="6">AVERAGE(O3:O50)</f>
        <v>721.89361702127655</v>
      </c>
      <c r="P53" s="49">
        <f t="shared" si="6"/>
        <v>787.25531914893622</v>
      </c>
      <c r="Q53" s="49">
        <f t="shared" si="6"/>
        <v>833.91489361702122</v>
      </c>
      <c r="R53" s="49">
        <f t="shared" si="6"/>
        <v>823.25531914893622</v>
      </c>
      <c r="S53" s="49">
        <f t="shared" si="6"/>
        <v>806.29166666666663</v>
      </c>
      <c r="T53" s="49">
        <f t="shared" si="6"/>
        <v>809.85416666666663</v>
      </c>
      <c r="U53" s="122">
        <f t="shared" si="6"/>
        <v>828.08333333333337</v>
      </c>
      <c r="V53" s="49"/>
      <c r="W53" s="60">
        <f>(U53-O53)/O53</f>
        <v>0.14709884366372927</v>
      </c>
    </row>
    <row r="54" spans="1:24" x14ac:dyDescent="0.35">
      <c r="B54" s="44" t="s">
        <v>305</v>
      </c>
      <c r="C54" s="58">
        <f>SUM(C5:C8,C14,C17:C18,C21:C25,C29,C31,C42:C48)</f>
        <v>4363</v>
      </c>
      <c r="D54" s="58">
        <f t="shared" ref="D54:I54" si="7">SUM(D5:D8,D14,D17:D18,D21:D25,D29,D31,D42:D48)</f>
        <v>4475</v>
      </c>
      <c r="E54" s="58">
        <f t="shared" si="7"/>
        <v>4596</v>
      </c>
      <c r="F54" s="58">
        <f t="shared" si="7"/>
        <v>4079</v>
      </c>
      <c r="G54" s="58">
        <f t="shared" si="7"/>
        <v>4348</v>
      </c>
      <c r="H54" s="58">
        <f t="shared" si="7"/>
        <v>4390</v>
      </c>
      <c r="I54" s="125">
        <f t="shared" si="7"/>
        <v>4945</v>
      </c>
      <c r="J54" s="58"/>
      <c r="K54" s="46">
        <f>(I54-C54)/C54</f>
        <v>0.13339445335778136</v>
      </c>
      <c r="L54" s="17"/>
      <c r="N54" s="48" t="s">
        <v>305</v>
      </c>
      <c r="O54" s="49">
        <f>SUM(O5,O6,O7,O8,O14,O17,O18,O21,O22,O23,O24,O25,O29,O31,O42,O43,O44:O45,O47:O48)</f>
        <v>13290</v>
      </c>
      <c r="P54" s="49">
        <f t="shared" ref="P54:U54" si="8">SUM(P5,P6,P7,P8,P14,P17,P18,P21,P22,P23,P24,P25,P29,P31,P42,P43,P44:P45,P47:P48)</f>
        <v>14944</v>
      </c>
      <c r="Q54" s="49">
        <f t="shared" si="8"/>
        <v>15913</v>
      </c>
      <c r="R54" s="49">
        <f t="shared" si="8"/>
        <v>15628</v>
      </c>
      <c r="S54" s="49">
        <f t="shared" si="8"/>
        <v>15590</v>
      </c>
      <c r="T54" s="49">
        <f t="shared" si="8"/>
        <v>15420</v>
      </c>
      <c r="U54" s="161">
        <f t="shared" si="8"/>
        <v>16229</v>
      </c>
      <c r="V54" s="49"/>
      <c r="W54" s="60">
        <f>(U54-O54)/O54</f>
        <v>0.22114371708051167</v>
      </c>
    </row>
    <row r="55" spans="1:24" x14ac:dyDescent="0.35">
      <c r="B55" s="44" t="s">
        <v>306</v>
      </c>
      <c r="C55" s="58">
        <f>SUM(C3,C11,C32,C34:C38,C41,C49:C50,C15)</f>
        <v>2583</v>
      </c>
      <c r="D55" s="58">
        <f t="shared" ref="D55:I55" si="9">SUM(D3,D11,D32,D34:D38,D41,D49:D50,D15)</f>
        <v>2324</v>
      </c>
      <c r="E55" s="58">
        <f t="shared" si="9"/>
        <v>2737</v>
      </c>
      <c r="F55" s="58">
        <f t="shared" si="9"/>
        <v>2568</v>
      </c>
      <c r="G55" s="58">
        <f t="shared" si="9"/>
        <v>2668</v>
      </c>
      <c r="H55" s="58">
        <f t="shared" si="9"/>
        <v>2795</v>
      </c>
      <c r="I55" s="125">
        <f t="shared" si="9"/>
        <v>2976</v>
      </c>
      <c r="J55" s="58"/>
      <c r="K55" s="46">
        <f>(I55-C55)/C55</f>
        <v>0.15214866434378629</v>
      </c>
      <c r="L55" s="17"/>
      <c r="N55" s="48" t="s">
        <v>306</v>
      </c>
      <c r="O55" s="49">
        <f>SUM(O3,O11,O15,O32,O34:O37,O41,O46,O49:O50)</f>
        <v>9560</v>
      </c>
      <c r="P55" s="49">
        <f t="shared" ref="P55:U55" si="10">SUM(P3,P11,P15,P32,P34:P37,P41,P46,P49:P50)</f>
        <v>9937</v>
      </c>
      <c r="Q55" s="49">
        <f t="shared" si="10"/>
        <v>10536</v>
      </c>
      <c r="R55" s="49">
        <f t="shared" si="10"/>
        <v>10048</v>
      </c>
      <c r="S55" s="49">
        <f t="shared" si="10"/>
        <v>10331</v>
      </c>
      <c r="T55" s="49">
        <f t="shared" si="10"/>
        <v>10593</v>
      </c>
      <c r="U55" s="161">
        <f t="shared" si="10"/>
        <v>10898</v>
      </c>
      <c r="V55" s="49"/>
      <c r="W55" s="60">
        <f>(U55-O55)/O55</f>
        <v>0.1399581589958159</v>
      </c>
    </row>
    <row r="56" spans="1:24" x14ac:dyDescent="0.35">
      <c r="B56" s="44" t="s">
        <v>307</v>
      </c>
      <c r="C56" s="125">
        <f>SUM(C4,C9:C10,C12:C13,C16,C19:C20,C26:C28,C30,C33,C39:C40)</f>
        <v>3713</v>
      </c>
      <c r="D56" s="58">
        <f t="shared" ref="D56:I56" si="11">SUM(D4,D9:D10,D12:D13,D16,D19:D20,D26:D28,D30,D33,D39:D40)</f>
        <v>3120</v>
      </c>
      <c r="E56" s="58">
        <f t="shared" si="11"/>
        <v>2885</v>
      </c>
      <c r="F56" s="58">
        <f t="shared" si="11"/>
        <v>2973</v>
      </c>
      <c r="G56" s="58">
        <f t="shared" si="11"/>
        <v>2818</v>
      </c>
      <c r="H56" s="58">
        <f t="shared" si="11"/>
        <v>2942</v>
      </c>
      <c r="I56" s="58">
        <f t="shared" si="11"/>
        <v>2765</v>
      </c>
      <c r="J56" s="58"/>
      <c r="K56" s="126">
        <f>(I56-C56)/C56</f>
        <v>-0.25531914893617019</v>
      </c>
      <c r="L56" s="19"/>
      <c r="N56" s="48" t="s">
        <v>307</v>
      </c>
      <c r="O56" s="49">
        <f>SUM(O4,O9:O10,O12:O13,O16,O19:O20,O26:O28,O30,O39:O40,O33)</f>
        <v>11079</v>
      </c>
      <c r="P56" s="49">
        <f t="shared" ref="P56:U56" si="12">SUM(P4,P9:P10,P12:P13,P16,P19:P20,P26:P28,P30,P39:P40,P33)</f>
        <v>12120</v>
      </c>
      <c r="Q56" s="49">
        <f t="shared" si="12"/>
        <v>12745</v>
      </c>
      <c r="R56" s="161">
        <f t="shared" si="12"/>
        <v>13017</v>
      </c>
      <c r="S56" s="49">
        <f t="shared" si="12"/>
        <v>12683</v>
      </c>
      <c r="T56" s="49">
        <f t="shared" si="12"/>
        <v>12658</v>
      </c>
      <c r="U56" s="49">
        <f t="shared" si="12"/>
        <v>12340</v>
      </c>
      <c r="V56" s="49"/>
      <c r="W56" s="60">
        <f>(U56-P56)/P56</f>
        <v>1.8151815181518153E-2</v>
      </c>
      <c r="X56" s="27" t="s">
        <v>258</v>
      </c>
    </row>
    <row r="57" spans="1:24" x14ac:dyDescent="0.35">
      <c r="N57" t="s">
        <v>294</v>
      </c>
      <c r="O57" t="s">
        <v>295</v>
      </c>
      <c r="P57" t="s">
        <v>296</v>
      </c>
      <c r="Q57" t="s">
        <v>297</v>
      </c>
      <c r="R57" t="s">
        <v>298</v>
      </c>
      <c r="S57" t="s">
        <v>299</v>
      </c>
      <c r="T57" t="s">
        <v>300</v>
      </c>
    </row>
    <row r="58" spans="1:24" x14ac:dyDescent="0.35">
      <c r="C58" s="59"/>
      <c r="N58" s="164" t="s">
        <v>554</v>
      </c>
      <c r="O58" s="165">
        <f>O54+O55+O56</f>
        <v>33929</v>
      </c>
      <c r="P58" s="165">
        <f t="shared" ref="P58:U58" si="13">P54+P55+P56</f>
        <v>37001</v>
      </c>
      <c r="Q58" s="165">
        <f t="shared" si="13"/>
        <v>39194</v>
      </c>
      <c r="R58" s="165">
        <f t="shared" si="13"/>
        <v>38693</v>
      </c>
      <c r="S58" s="165">
        <f t="shared" si="13"/>
        <v>38604</v>
      </c>
      <c r="T58" s="165">
        <f t="shared" si="13"/>
        <v>38671</v>
      </c>
      <c r="U58" s="165">
        <f t="shared" si="13"/>
        <v>39467</v>
      </c>
    </row>
    <row r="61" spans="1:24" x14ac:dyDescent="0.35">
      <c r="B61" s="8" t="s">
        <v>512</v>
      </c>
    </row>
    <row r="62" spans="1:24" x14ac:dyDescent="0.35">
      <c r="B62" s="31" t="s">
        <v>259</v>
      </c>
      <c r="C62" s="31" t="s">
        <v>203</v>
      </c>
      <c r="D62" s="32" t="s">
        <v>197</v>
      </c>
      <c r="E62" s="32" t="s">
        <v>85</v>
      </c>
      <c r="F62" s="32" t="s">
        <v>186</v>
      </c>
      <c r="G62" s="32" t="s">
        <v>86</v>
      </c>
      <c r="H62" s="32" t="s">
        <v>188</v>
      </c>
      <c r="I62" s="32" t="s">
        <v>87</v>
      </c>
      <c r="J62" s="32" t="s">
        <v>198</v>
      </c>
      <c r="K62" s="32" t="s">
        <v>88</v>
      </c>
      <c r="M62" s="17"/>
      <c r="U62"/>
    </row>
    <row r="63" spans="1:24" x14ac:dyDescent="0.35">
      <c r="B63" s="4" t="s">
        <v>201</v>
      </c>
      <c r="C63" s="31" t="s">
        <v>17</v>
      </c>
      <c r="D63" s="31">
        <v>30481</v>
      </c>
      <c r="E63" s="31">
        <v>29224</v>
      </c>
      <c r="F63" s="31">
        <v>27498</v>
      </c>
      <c r="G63" s="31">
        <v>26842</v>
      </c>
      <c r="H63" s="31">
        <v>27420</v>
      </c>
      <c r="I63" s="31">
        <v>28581</v>
      </c>
      <c r="J63" s="31">
        <v>30438</v>
      </c>
      <c r="K63" s="31">
        <v>31333</v>
      </c>
      <c r="M63" s="17"/>
      <c r="U63"/>
    </row>
    <row r="64" spans="1:24" x14ac:dyDescent="0.35">
      <c r="B64" s="4" t="s">
        <v>202</v>
      </c>
      <c r="C64" s="31" t="s">
        <v>17</v>
      </c>
      <c r="D64" s="33">
        <v>3.5999999999999997E-2</v>
      </c>
      <c r="E64" s="33">
        <v>-4.1000000000000002E-2</v>
      </c>
      <c r="F64" s="33">
        <v>-5.8999999999999997E-2</v>
      </c>
      <c r="G64" s="33">
        <v>-2.4E-2</v>
      </c>
      <c r="H64" s="33">
        <v>2.1999999999999999E-2</v>
      </c>
      <c r="I64" s="33">
        <v>4.2000000000000003E-2</v>
      </c>
      <c r="J64" s="33">
        <v>6.5000000000000002E-2</v>
      </c>
      <c r="K64" s="33">
        <v>2.9000000000000001E-2</v>
      </c>
      <c r="M64" s="17"/>
      <c r="U64"/>
    </row>
    <row r="65" spans="2:22" x14ac:dyDescent="0.35">
      <c r="B65" s="4" t="s">
        <v>201</v>
      </c>
      <c r="C65" s="8" t="s">
        <v>18</v>
      </c>
      <c r="E65">
        <v>10659</v>
      </c>
      <c r="F65">
        <v>9919</v>
      </c>
      <c r="G65">
        <v>10218</v>
      </c>
      <c r="H65">
        <v>9620</v>
      </c>
      <c r="I65">
        <v>9834</v>
      </c>
      <c r="J65">
        <v>10127</v>
      </c>
      <c r="K65" s="34">
        <v>10686</v>
      </c>
      <c r="U65"/>
      <c r="V65" s="17"/>
    </row>
    <row r="66" spans="2:22" x14ac:dyDescent="0.35">
      <c r="B66" s="4" t="s">
        <v>202</v>
      </c>
      <c r="C66" s="8" t="s">
        <v>18</v>
      </c>
      <c r="F66" s="30">
        <f>(F65-E65)/E65</f>
        <v>-6.9424899146261376E-2</v>
      </c>
      <c r="G66" s="30">
        <f t="shared" ref="G66:K66" si="14">(G65-F65)/F65</f>
        <v>3.0144167758846659E-2</v>
      </c>
      <c r="H66" s="30">
        <f t="shared" si="14"/>
        <v>-5.8524173027989825E-2</v>
      </c>
      <c r="I66" s="30">
        <f t="shared" si="14"/>
        <v>2.2245322245322247E-2</v>
      </c>
      <c r="J66" s="30">
        <f t="shared" si="14"/>
        <v>2.9794590197274762E-2</v>
      </c>
      <c r="K66" s="30">
        <f t="shared" si="14"/>
        <v>5.5198973042362001E-2</v>
      </c>
      <c r="U66"/>
      <c r="V66" s="17"/>
    </row>
    <row r="69" spans="2:22" x14ac:dyDescent="0.35">
      <c r="B69" s="5"/>
      <c r="C69" s="5"/>
    </row>
    <row r="70" spans="2:22" x14ac:dyDescent="0.35">
      <c r="B70" s="5"/>
      <c r="C70" s="5"/>
    </row>
    <row r="71" spans="2:22" x14ac:dyDescent="0.35">
      <c r="B71" s="5"/>
      <c r="C71" s="5"/>
    </row>
    <row r="72" spans="2:22" x14ac:dyDescent="0.35">
      <c r="B72" s="5"/>
      <c r="C72" s="5"/>
    </row>
    <row r="73" spans="2:22" x14ac:dyDescent="0.35">
      <c r="B73" s="5"/>
      <c r="C73" s="5"/>
    </row>
    <row r="74" spans="2:22" x14ac:dyDescent="0.35">
      <c r="B74" s="5"/>
      <c r="C74" s="5"/>
    </row>
    <row r="75" spans="2:22" x14ac:dyDescent="0.35">
      <c r="B75" s="181" t="s">
        <v>293</v>
      </c>
      <c r="C75" s="181"/>
    </row>
    <row r="76" spans="2:22" x14ac:dyDescent="0.35">
      <c r="B76" s="181"/>
      <c r="C76" s="181"/>
    </row>
    <row r="77" spans="2:22" x14ac:dyDescent="0.35">
      <c r="B77" s="181"/>
      <c r="C77" s="181"/>
    </row>
    <row r="78" spans="2:22" x14ac:dyDescent="0.35">
      <c r="B78" s="181"/>
      <c r="C78" s="181"/>
    </row>
    <row r="79" spans="2:22" x14ac:dyDescent="0.35">
      <c r="B79" s="181"/>
      <c r="C79" s="181"/>
    </row>
    <row r="80" spans="2:22" x14ac:dyDescent="0.35">
      <c r="B80" s="181"/>
      <c r="C80" s="181"/>
    </row>
    <row r="81" spans="2:3" x14ac:dyDescent="0.35">
      <c r="B81" s="181"/>
      <c r="C81" s="181"/>
    </row>
    <row r="82" spans="2:3" x14ac:dyDescent="0.35">
      <c r="B82" s="181"/>
      <c r="C82" s="181"/>
    </row>
    <row r="83" spans="2:3" x14ac:dyDescent="0.35">
      <c r="B83" s="181"/>
      <c r="C83" s="181"/>
    </row>
    <row r="84" spans="2:3" x14ac:dyDescent="0.35">
      <c r="B84" s="181"/>
      <c r="C84" s="181"/>
    </row>
  </sheetData>
  <sheetProtection insertColumns="0" insertRows="0" pivotTables="0"/>
  <mergeCells count="2">
    <mergeCell ref="B75:C84"/>
    <mergeCell ref="J51:K51"/>
  </mergeCells>
  <pageMargins left="0.7" right="0.7" top="0.75" bottom="0.75" header="0.3" footer="0.3"/>
  <pageSetup paperSize="9" orientation="portrait" r:id="rId1"/>
  <ignoredErrors>
    <ignoredError sqref="C55:F55"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D73C3-A7BC-42CA-BBC5-F57CCFF89D77}">
  <dimension ref="A1:J24"/>
  <sheetViews>
    <sheetView topLeftCell="A12" workbookViewId="0">
      <selection activeCell="L22" sqref="L22"/>
    </sheetView>
  </sheetViews>
  <sheetFormatPr defaultRowHeight="15.5" x14ac:dyDescent="0.35"/>
  <cols>
    <col min="1" max="1" width="24.25" customWidth="1"/>
  </cols>
  <sheetData>
    <row r="1" spans="1:10" x14ac:dyDescent="0.35">
      <c r="A1" t="s">
        <v>530</v>
      </c>
    </row>
    <row r="2" spans="1:10" x14ac:dyDescent="0.35">
      <c r="A2" t="s">
        <v>513</v>
      </c>
    </row>
    <row r="3" spans="1:10" x14ac:dyDescent="0.35">
      <c r="B3">
        <v>2010</v>
      </c>
      <c r="C3">
        <v>2011</v>
      </c>
      <c r="D3">
        <v>2012</v>
      </c>
      <c r="E3">
        <v>2013</v>
      </c>
      <c r="F3">
        <v>2014</v>
      </c>
      <c r="G3">
        <v>2015</v>
      </c>
      <c r="H3">
        <v>2016</v>
      </c>
      <c r="I3">
        <v>2017</v>
      </c>
      <c r="J3">
        <v>2018</v>
      </c>
    </row>
    <row r="4" spans="1:10" x14ac:dyDescent="0.35">
      <c r="A4" t="s">
        <v>514</v>
      </c>
      <c r="B4">
        <v>81.3</v>
      </c>
      <c r="C4">
        <v>80.900000000000006</v>
      </c>
      <c r="D4">
        <v>80.400000000000006</v>
      </c>
      <c r="E4">
        <v>80.7</v>
      </c>
      <c r="F4">
        <v>80.7</v>
      </c>
      <c r="G4">
        <v>79.7</v>
      </c>
      <c r="H4">
        <v>81.599999999999994</v>
      </c>
      <c r="I4">
        <v>82</v>
      </c>
      <c r="J4">
        <v>83.4</v>
      </c>
    </row>
    <row r="5" spans="1:10" x14ac:dyDescent="0.35">
      <c r="A5" t="s">
        <v>515</v>
      </c>
      <c r="B5">
        <v>0.5</v>
      </c>
      <c r="C5">
        <v>0.5</v>
      </c>
      <c r="D5">
        <v>0.7</v>
      </c>
      <c r="E5">
        <v>0.5</v>
      </c>
      <c r="F5">
        <v>0.5</v>
      </c>
      <c r="G5">
        <v>0.4</v>
      </c>
      <c r="H5">
        <v>0.3</v>
      </c>
      <c r="I5">
        <v>0.4</v>
      </c>
      <c r="J5">
        <v>0.4</v>
      </c>
    </row>
    <row r="6" spans="1:10" x14ac:dyDescent="0.35">
      <c r="A6" t="s">
        <v>517</v>
      </c>
      <c r="B6">
        <v>72.599999999999994</v>
      </c>
      <c r="C6">
        <v>72.2</v>
      </c>
      <c r="D6">
        <v>71.7</v>
      </c>
      <c r="E6">
        <v>72.2</v>
      </c>
      <c r="F6">
        <v>71.5</v>
      </c>
      <c r="G6">
        <v>68</v>
      </c>
      <c r="H6">
        <v>70.900000000000006</v>
      </c>
      <c r="I6">
        <v>70.900000000000006</v>
      </c>
      <c r="J6">
        <v>72.400000000000006</v>
      </c>
    </row>
    <row r="7" spans="1:10" x14ac:dyDescent="0.35">
      <c r="A7" t="s">
        <v>518</v>
      </c>
      <c r="B7" t="s">
        <v>516</v>
      </c>
      <c r="C7" t="s">
        <v>516</v>
      </c>
      <c r="D7" t="s">
        <v>516</v>
      </c>
      <c r="E7" t="s">
        <v>516</v>
      </c>
      <c r="F7" t="s">
        <v>516</v>
      </c>
      <c r="G7" t="s">
        <v>516</v>
      </c>
      <c r="H7">
        <v>0.2</v>
      </c>
      <c r="I7">
        <v>0.3</v>
      </c>
      <c r="J7">
        <v>0.5</v>
      </c>
    </row>
    <row r="8" spans="1:10" x14ac:dyDescent="0.35">
      <c r="A8" t="s">
        <v>519</v>
      </c>
      <c r="B8">
        <v>0.3</v>
      </c>
      <c r="C8" t="s">
        <v>4</v>
      </c>
      <c r="D8" t="s">
        <v>4</v>
      </c>
      <c r="E8" t="s">
        <v>4</v>
      </c>
      <c r="F8" t="s">
        <v>4</v>
      </c>
      <c r="G8" t="s">
        <v>4</v>
      </c>
      <c r="H8" t="s">
        <v>4</v>
      </c>
      <c r="I8" t="s">
        <v>4</v>
      </c>
      <c r="J8" t="s">
        <v>4</v>
      </c>
    </row>
    <row r="9" spans="1:10" x14ac:dyDescent="0.35">
      <c r="A9" t="s">
        <v>520</v>
      </c>
      <c r="B9" t="s">
        <v>516</v>
      </c>
      <c r="C9" t="s">
        <v>516</v>
      </c>
      <c r="D9">
        <v>0</v>
      </c>
      <c r="E9">
        <v>0.1</v>
      </c>
      <c r="F9">
        <v>0.1</v>
      </c>
      <c r="G9">
        <v>0.1</v>
      </c>
      <c r="H9">
        <v>0</v>
      </c>
      <c r="I9">
        <v>0.1</v>
      </c>
      <c r="J9">
        <v>0</v>
      </c>
    </row>
    <row r="10" spans="1:10" x14ac:dyDescent="0.35">
      <c r="A10" t="s">
        <v>521</v>
      </c>
      <c r="B10">
        <v>0.7</v>
      </c>
      <c r="C10">
        <v>0.7</v>
      </c>
      <c r="D10">
        <v>0.4</v>
      </c>
      <c r="E10">
        <v>0.5</v>
      </c>
      <c r="F10">
        <v>0.6</v>
      </c>
      <c r="G10">
        <v>2.2999999999999998</v>
      </c>
      <c r="H10">
        <v>1.6</v>
      </c>
      <c r="I10">
        <v>1.4</v>
      </c>
      <c r="J10">
        <v>1.4</v>
      </c>
    </row>
    <row r="11" spans="1:10" x14ac:dyDescent="0.35">
      <c r="A11" t="s">
        <v>522</v>
      </c>
      <c r="B11">
        <v>4.3</v>
      </c>
      <c r="C11">
        <v>4.0999999999999996</v>
      </c>
      <c r="D11">
        <v>4.5</v>
      </c>
      <c r="E11">
        <v>4.5999999999999996</v>
      </c>
      <c r="F11">
        <v>4.5999999999999996</v>
      </c>
      <c r="G11">
        <v>5.4</v>
      </c>
      <c r="H11">
        <v>5.5</v>
      </c>
      <c r="I11">
        <v>5.9</v>
      </c>
      <c r="J11">
        <v>6.3</v>
      </c>
    </row>
    <row r="12" spans="1:10" x14ac:dyDescent="0.35">
      <c r="A12" t="s">
        <v>523</v>
      </c>
      <c r="B12">
        <v>1</v>
      </c>
      <c r="C12">
        <v>1.4</v>
      </c>
      <c r="D12">
        <v>1</v>
      </c>
      <c r="E12">
        <v>1.2</v>
      </c>
      <c r="F12">
        <v>1.2</v>
      </c>
      <c r="G12">
        <v>1.1000000000000001</v>
      </c>
      <c r="H12">
        <v>1.1000000000000001</v>
      </c>
      <c r="I12">
        <v>1.5</v>
      </c>
      <c r="J12">
        <v>1.2</v>
      </c>
    </row>
    <row r="13" spans="1:10" x14ac:dyDescent="0.35">
      <c r="A13" t="s">
        <v>524</v>
      </c>
      <c r="B13">
        <v>0.8</v>
      </c>
      <c r="C13">
        <v>0.9</v>
      </c>
      <c r="D13">
        <v>1.2</v>
      </c>
      <c r="E13">
        <v>0.7</v>
      </c>
      <c r="F13">
        <v>0.9</v>
      </c>
      <c r="G13">
        <v>1</v>
      </c>
      <c r="H13">
        <v>0.9</v>
      </c>
      <c r="I13">
        <v>0.6</v>
      </c>
      <c r="J13">
        <v>0.5</v>
      </c>
    </row>
    <row r="14" spans="1:10" x14ac:dyDescent="0.35">
      <c r="A14" t="s">
        <v>525</v>
      </c>
      <c r="B14">
        <v>0.1</v>
      </c>
      <c r="C14">
        <v>0.1</v>
      </c>
      <c r="D14">
        <v>0</v>
      </c>
      <c r="E14">
        <v>0.1</v>
      </c>
      <c r="F14">
        <v>0.1</v>
      </c>
      <c r="G14">
        <v>0.1</v>
      </c>
      <c r="H14">
        <v>0.1</v>
      </c>
      <c r="I14">
        <v>0.1</v>
      </c>
      <c r="J14" t="s">
        <v>4</v>
      </c>
    </row>
    <row r="15" spans="1:10" x14ac:dyDescent="0.35">
      <c r="A15" t="s">
        <v>526</v>
      </c>
      <c r="B15">
        <v>0.8</v>
      </c>
      <c r="C15">
        <v>0.7</v>
      </c>
      <c r="D15">
        <v>0.6</v>
      </c>
      <c r="E15">
        <v>0.6</v>
      </c>
      <c r="F15">
        <v>1.1000000000000001</v>
      </c>
      <c r="G15">
        <v>0.9</v>
      </c>
      <c r="H15">
        <v>0.8</v>
      </c>
      <c r="I15">
        <v>0.6</v>
      </c>
      <c r="J15">
        <v>0.5</v>
      </c>
    </row>
    <row r="16" spans="1:10" x14ac:dyDescent="0.35">
      <c r="A16" t="s">
        <v>527</v>
      </c>
      <c r="B16">
        <v>18.399999999999999</v>
      </c>
      <c r="C16">
        <v>18.899999999999999</v>
      </c>
      <c r="D16">
        <v>19.3</v>
      </c>
      <c r="E16">
        <v>19</v>
      </c>
      <c r="F16">
        <v>19</v>
      </c>
      <c r="G16">
        <v>19.899999999999999</v>
      </c>
      <c r="H16">
        <v>18.2</v>
      </c>
      <c r="I16">
        <v>17.899999999999999</v>
      </c>
      <c r="J16">
        <v>16.5</v>
      </c>
    </row>
    <row r="18" spans="1:10" s="141" customFormat="1" x14ac:dyDescent="0.35">
      <c r="A18" s="140" t="s">
        <v>531</v>
      </c>
      <c r="B18" s="140">
        <v>2010</v>
      </c>
      <c r="C18" s="140">
        <v>2011</v>
      </c>
      <c r="D18" s="140">
        <v>2012</v>
      </c>
      <c r="E18" s="140">
        <v>2013</v>
      </c>
      <c r="F18" s="140">
        <v>2014</v>
      </c>
      <c r="G18" s="140">
        <v>2015</v>
      </c>
      <c r="H18" s="140">
        <v>2016</v>
      </c>
      <c r="I18" s="140">
        <v>2017</v>
      </c>
      <c r="J18" s="140">
        <v>2018</v>
      </c>
    </row>
    <row r="19" spans="1:10" s="139" customFormat="1" ht="62" x14ac:dyDescent="0.35">
      <c r="A19" s="142" t="s">
        <v>514</v>
      </c>
      <c r="B19" s="143">
        <v>81.3</v>
      </c>
      <c r="C19" s="143">
        <v>80.900000000000006</v>
      </c>
      <c r="D19" s="143">
        <v>80.400000000000006</v>
      </c>
      <c r="E19" s="143">
        <v>80.7</v>
      </c>
      <c r="F19" s="143">
        <v>80.7</v>
      </c>
      <c r="G19" s="143">
        <v>79.7</v>
      </c>
      <c r="H19" s="143">
        <v>81.599999999999994</v>
      </c>
      <c r="I19" s="143">
        <v>82</v>
      </c>
      <c r="J19" s="143">
        <v>83.4</v>
      </c>
    </row>
    <row r="20" spans="1:10" s="139" customFormat="1" x14ac:dyDescent="0.35">
      <c r="A20" s="142" t="s">
        <v>517</v>
      </c>
      <c r="B20" s="143">
        <v>72.599999999999994</v>
      </c>
      <c r="C20" s="143">
        <v>72.2</v>
      </c>
      <c r="D20" s="143">
        <v>71.7</v>
      </c>
      <c r="E20" s="143">
        <v>72.2</v>
      </c>
      <c r="F20" s="143">
        <v>71.5</v>
      </c>
      <c r="G20" s="143">
        <v>68</v>
      </c>
      <c r="H20" s="143">
        <v>70.900000000000006</v>
      </c>
      <c r="I20" s="143">
        <v>70.900000000000006</v>
      </c>
      <c r="J20" s="143">
        <v>72.400000000000006</v>
      </c>
    </row>
    <row r="21" spans="1:10" s="139" customFormat="1" x14ac:dyDescent="0.35">
      <c r="A21" s="142" t="s">
        <v>522</v>
      </c>
      <c r="B21" s="143">
        <v>4.3</v>
      </c>
      <c r="C21" s="143">
        <v>4.0999999999999996</v>
      </c>
      <c r="D21" s="143">
        <v>4.5</v>
      </c>
      <c r="E21" s="143">
        <v>4.5999999999999996</v>
      </c>
      <c r="F21" s="143">
        <v>4.5999999999999996</v>
      </c>
      <c r="G21" s="143">
        <v>5.4</v>
      </c>
      <c r="H21" s="143">
        <v>5.5</v>
      </c>
      <c r="I21" s="143">
        <v>5.9</v>
      </c>
      <c r="J21" s="143">
        <v>6.3</v>
      </c>
    </row>
    <row r="22" spans="1:10" s="139" customFormat="1" ht="31" x14ac:dyDescent="0.35">
      <c r="A22" s="142" t="s">
        <v>523</v>
      </c>
      <c r="B22" s="143">
        <v>1</v>
      </c>
      <c r="C22" s="143">
        <v>1.4</v>
      </c>
      <c r="D22" s="143">
        <v>1</v>
      </c>
      <c r="E22" s="143">
        <v>1.2</v>
      </c>
      <c r="F22" s="143">
        <v>1.2</v>
      </c>
      <c r="G22" s="143">
        <v>1.1000000000000001</v>
      </c>
      <c r="H22" s="143">
        <v>1.1000000000000001</v>
      </c>
      <c r="I22" s="143">
        <v>1.5</v>
      </c>
      <c r="J22" s="143">
        <v>1.2</v>
      </c>
    </row>
    <row r="23" spans="1:10" s="139" customFormat="1" x14ac:dyDescent="0.35">
      <c r="A23" s="142" t="s">
        <v>524</v>
      </c>
      <c r="B23" s="143">
        <v>0.8</v>
      </c>
      <c r="C23" s="143">
        <v>0.9</v>
      </c>
      <c r="D23" s="143">
        <v>1.2</v>
      </c>
      <c r="E23" s="143">
        <v>0.7</v>
      </c>
      <c r="F23" s="143">
        <v>0.9</v>
      </c>
      <c r="G23" s="143">
        <v>1</v>
      </c>
      <c r="H23" s="143">
        <v>0.9</v>
      </c>
      <c r="I23" s="143">
        <v>0.6</v>
      </c>
      <c r="J23" s="143">
        <v>0.5</v>
      </c>
    </row>
    <row r="24" spans="1:10" x14ac:dyDescent="0.35">
      <c r="A24" s="142" t="s">
        <v>527</v>
      </c>
      <c r="B24" s="143">
        <v>18.399999999999999</v>
      </c>
      <c r="C24" s="143">
        <v>18.899999999999999</v>
      </c>
      <c r="D24" s="143">
        <v>19.3</v>
      </c>
      <c r="E24" s="143">
        <v>19</v>
      </c>
      <c r="F24" s="143">
        <v>19</v>
      </c>
      <c r="G24" s="143">
        <v>19.899999999999999</v>
      </c>
      <c r="H24" s="143">
        <v>18.2</v>
      </c>
      <c r="I24" s="143">
        <v>17.899999999999999</v>
      </c>
      <c r="J24" s="143">
        <v>16.5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12A12-6084-469C-9257-DFF4548F4699}">
  <dimension ref="A1:C26"/>
  <sheetViews>
    <sheetView workbookViewId="0">
      <selection activeCell="E5" sqref="E5"/>
    </sheetView>
  </sheetViews>
  <sheetFormatPr defaultRowHeight="15.5" x14ac:dyDescent="0.35"/>
  <cols>
    <col min="1" max="1" width="13.9140625" style="109" customWidth="1"/>
    <col min="2" max="2" width="27.08203125" style="62" customWidth="1"/>
    <col min="3" max="3" width="29.83203125" style="62" customWidth="1"/>
  </cols>
  <sheetData>
    <row r="1" spans="1:3" ht="46.5" x14ac:dyDescent="0.35">
      <c r="A1" s="109" t="s">
        <v>455</v>
      </c>
      <c r="B1" s="109" t="s">
        <v>456</v>
      </c>
      <c r="C1" s="109" t="s">
        <v>457</v>
      </c>
    </row>
    <row r="2" spans="1:3" ht="31" x14ac:dyDescent="0.35">
      <c r="A2" s="109" t="s">
        <v>0</v>
      </c>
      <c r="B2" s="62" t="s">
        <v>458</v>
      </c>
      <c r="C2" s="62" t="s">
        <v>459</v>
      </c>
    </row>
    <row r="3" spans="1:3" ht="46.5" x14ac:dyDescent="0.35">
      <c r="A3" s="109" t="s">
        <v>460</v>
      </c>
      <c r="B3" s="62" t="s">
        <v>488</v>
      </c>
      <c r="C3" s="62" t="s">
        <v>492</v>
      </c>
    </row>
    <row r="4" spans="1:3" ht="46.5" x14ac:dyDescent="0.35">
      <c r="A4" s="109" t="s">
        <v>1</v>
      </c>
      <c r="B4" s="62" t="s">
        <v>462</v>
      </c>
      <c r="C4" s="62" t="s">
        <v>463</v>
      </c>
    </row>
    <row r="5" spans="1:3" ht="31" x14ac:dyDescent="0.35">
      <c r="A5" s="109" t="s">
        <v>464</v>
      </c>
      <c r="B5" s="62" t="s">
        <v>488</v>
      </c>
      <c r="C5" s="62" t="s">
        <v>465</v>
      </c>
    </row>
    <row r="6" spans="1:3" ht="46.5" x14ac:dyDescent="0.35">
      <c r="A6" s="109" t="s">
        <v>2</v>
      </c>
      <c r="B6" s="62" t="s">
        <v>466</v>
      </c>
      <c r="C6" s="62" t="s">
        <v>467</v>
      </c>
    </row>
    <row r="7" spans="1:3" ht="62" x14ac:dyDescent="0.35">
      <c r="A7" s="109" t="s">
        <v>485</v>
      </c>
      <c r="B7" s="108" t="s">
        <v>493</v>
      </c>
      <c r="C7" s="62" t="s">
        <v>478</v>
      </c>
    </row>
    <row r="8" spans="1:3" ht="31" x14ac:dyDescent="0.35">
      <c r="A8" s="109" t="s">
        <v>3</v>
      </c>
      <c r="B8" s="62" t="s">
        <v>471</v>
      </c>
      <c r="C8" s="108" t="s">
        <v>472</v>
      </c>
    </row>
    <row r="9" spans="1:3" ht="31" x14ac:dyDescent="0.35">
      <c r="A9" s="109" t="s">
        <v>484</v>
      </c>
      <c r="B9" s="62" t="s">
        <v>473</v>
      </c>
      <c r="C9" s="62" t="s">
        <v>495</v>
      </c>
    </row>
    <row r="10" spans="1:3" ht="62" x14ac:dyDescent="0.35">
      <c r="A10" s="109" t="s">
        <v>447</v>
      </c>
      <c r="B10" s="62" t="s">
        <v>469</v>
      </c>
      <c r="C10" s="108" t="s">
        <v>494</v>
      </c>
    </row>
    <row r="11" spans="1:3" ht="31" x14ac:dyDescent="0.35">
      <c r="A11" s="109" t="s">
        <v>401</v>
      </c>
      <c r="B11" s="62" t="s">
        <v>458</v>
      </c>
      <c r="C11" s="62" t="s">
        <v>495</v>
      </c>
    </row>
    <row r="12" spans="1:3" ht="31" x14ac:dyDescent="0.35">
      <c r="A12" s="109" t="s">
        <v>475</v>
      </c>
      <c r="B12" s="62" t="s">
        <v>473</v>
      </c>
      <c r="C12" s="62" t="s">
        <v>495</v>
      </c>
    </row>
    <row r="13" spans="1:3" ht="31" x14ac:dyDescent="0.35">
      <c r="A13" s="109" t="s">
        <v>486</v>
      </c>
      <c r="B13" s="62" t="s">
        <v>466</v>
      </c>
      <c r="C13" s="62" t="s">
        <v>495</v>
      </c>
    </row>
    <row r="14" spans="1:3" ht="31" x14ac:dyDescent="0.35">
      <c r="A14" s="109" t="s">
        <v>194</v>
      </c>
      <c r="B14" s="62" t="s">
        <v>458</v>
      </c>
      <c r="C14" s="62" t="s">
        <v>495</v>
      </c>
    </row>
    <row r="15" spans="1:3" ht="31" x14ac:dyDescent="0.35">
      <c r="A15" s="109" t="s">
        <v>5</v>
      </c>
      <c r="B15" s="62" t="s">
        <v>458</v>
      </c>
      <c r="C15" s="62" t="s">
        <v>476</v>
      </c>
    </row>
    <row r="16" spans="1:3" ht="62" x14ac:dyDescent="0.35">
      <c r="A16" s="109" t="s">
        <v>6</v>
      </c>
      <c r="B16" s="62" t="s">
        <v>477</v>
      </c>
      <c r="C16" s="62" t="s">
        <v>495</v>
      </c>
    </row>
    <row r="17" spans="1:3" ht="46.5" x14ac:dyDescent="0.35">
      <c r="A17" s="109" t="s">
        <v>449</v>
      </c>
      <c r="B17" s="62" t="s">
        <v>466</v>
      </c>
      <c r="C17" s="62" t="s">
        <v>479</v>
      </c>
    </row>
    <row r="18" spans="1:3" ht="83" customHeight="1" x14ac:dyDescent="0.35">
      <c r="A18" s="109" t="s">
        <v>8</v>
      </c>
      <c r="B18" s="62" t="s">
        <v>480</v>
      </c>
      <c r="C18" s="108" t="s">
        <v>481</v>
      </c>
    </row>
    <row r="19" spans="1:3" ht="31" x14ac:dyDescent="0.35">
      <c r="A19" s="109" t="s">
        <v>450</v>
      </c>
      <c r="B19" s="62" t="s">
        <v>482</v>
      </c>
      <c r="C19" s="62" t="s">
        <v>483</v>
      </c>
    </row>
    <row r="20" spans="1:3" ht="46.5" x14ac:dyDescent="0.35">
      <c r="A20" s="109" t="s">
        <v>9</v>
      </c>
      <c r="B20" s="108" t="s">
        <v>489</v>
      </c>
      <c r="C20" s="62" t="s">
        <v>495</v>
      </c>
    </row>
    <row r="21" spans="1:3" ht="31" x14ac:dyDescent="0.35">
      <c r="A21" s="109" t="s">
        <v>10</v>
      </c>
      <c r="B21" s="62" t="s">
        <v>490</v>
      </c>
      <c r="C21" s="62" t="s">
        <v>474</v>
      </c>
    </row>
    <row r="22" spans="1:3" ht="31" x14ac:dyDescent="0.35">
      <c r="A22" s="109" t="s">
        <v>11</v>
      </c>
      <c r="B22" s="62" t="s">
        <v>461</v>
      </c>
      <c r="C22" s="62" t="s">
        <v>491</v>
      </c>
    </row>
    <row r="23" spans="1:3" ht="31" x14ac:dyDescent="0.35">
      <c r="A23" s="109" t="s">
        <v>53</v>
      </c>
      <c r="B23" s="62" t="s">
        <v>490</v>
      </c>
      <c r="C23" s="62" t="s">
        <v>495</v>
      </c>
    </row>
    <row r="24" spans="1:3" ht="31" x14ac:dyDescent="0.35">
      <c r="A24" s="109" t="s">
        <v>468</v>
      </c>
      <c r="B24" s="62" t="s">
        <v>487</v>
      </c>
      <c r="C24" s="62" t="s">
        <v>470</v>
      </c>
    </row>
    <row r="25" spans="1:3" ht="31" x14ac:dyDescent="0.35">
      <c r="A25" s="109" t="s">
        <v>12</v>
      </c>
      <c r="B25" s="62" t="s">
        <v>461</v>
      </c>
      <c r="C25" s="62" t="s">
        <v>495</v>
      </c>
    </row>
    <row r="26" spans="1:3" ht="31" x14ac:dyDescent="0.35">
      <c r="A26" s="109" t="s">
        <v>13</v>
      </c>
      <c r="B26" s="62" t="s">
        <v>461</v>
      </c>
      <c r="C26" s="62" t="s">
        <v>495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1:N91"/>
  <sheetViews>
    <sheetView workbookViewId="0">
      <selection activeCell="E35" sqref="E35"/>
    </sheetView>
  </sheetViews>
  <sheetFormatPr defaultColWidth="11" defaultRowHeight="15.5" x14ac:dyDescent="0.35"/>
  <cols>
    <col min="2" max="2" width="24.58203125" customWidth="1"/>
    <col min="3" max="3" width="10.83203125" style="13"/>
    <col min="4" max="4" width="21.08203125" customWidth="1"/>
    <col min="5" max="5" width="10.83203125" style="13"/>
    <col min="6" max="6" width="22.83203125" customWidth="1"/>
    <col min="7" max="7" width="10.83203125" style="13"/>
    <col min="8" max="8" width="21.5" customWidth="1"/>
    <col min="9" max="9" width="10.83203125" style="13"/>
    <col min="10" max="10" width="24" customWidth="1"/>
    <col min="11" max="11" width="10.83203125" style="13"/>
    <col min="12" max="12" width="30.58203125" customWidth="1"/>
    <col min="13" max="13" width="10.83203125" style="13"/>
  </cols>
  <sheetData>
    <row r="1" spans="1:14" x14ac:dyDescent="0.35">
      <c r="A1" s="40" t="s">
        <v>227</v>
      </c>
      <c r="B1" s="41"/>
      <c r="C1" s="42"/>
      <c r="D1" s="41"/>
      <c r="E1" s="42"/>
      <c r="F1" s="41"/>
      <c r="G1" s="42"/>
      <c r="H1" s="41"/>
      <c r="I1" s="42"/>
      <c r="J1" s="41"/>
      <c r="K1" s="42"/>
      <c r="L1" s="41"/>
      <c r="M1" s="42"/>
    </row>
    <row r="2" spans="1:14" s="8" customFormat="1" x14ac:dyDescent="0.35">
      <c r="A2" s="40" t="s">
        <v>228</v>
      </c>
      <c r="B2" s="40" t="s">
        <v>63</v>
      </c>
      <c r="C2" s="43" t="s">
        <v>85</v>
      </c>
      <c r="D2" s="40" t="s">
        <v>63</v>
      </c>
      <c r="E2" s="43" t="s">
        <v>186</v>
      </c>
      <c r="F2" s="40" t="s">
        <v>63</v>
      </c>
      <c r="G2" s="43" t="s">
        <v>86</v>
      </c>
      <c r="H2" s="40" t="s">
        <v>63</v>
      </c>
      <c r="I2" s="43" t="s">
        <v>219</v>
      </c>
      <c r="J2" s="40" t="s">
        <v>63</v>
      </c>
      <c r="K2" s="43" t="s">
        <v>87</v>
      </c>
      <c r="L2" s="40" t="s">
        <v>63</v>
      </c>
      <c r="M2" s="43" t="s">
        <v>249</v>
      </c>
    </row>
    <row r="3" spans="1:14" x14ac:dyDescent="0.35">
      <c r="A3" t="s">
        <v>7</v>
      </c>
      <c r="B3" s="6" t="s">
        <v>19</v>
      </c>
      <c r="C3" s="21">
        <v>67</v>
      </c>
      <c r="D3" s="6" t="s">
        <v>19</v>
      </c>
      <c r="E3" s="21">
        <v>88</v>
      </c>
      <c r="F3" s="36" t="s">
        <v>19</v>
      </c>
      <c r="G3" s="21">
        <v>70</v>
      </c>
      <c r="H3" s="36" t="s">
        <v>19</v>
      </c>
      <c r="I3" s="21">
        <v>62</v>
      </c>
      <c r="J3" s="36" t="s">
        <v>19</v>
      </c>
      <c r="K3" s="21">
        <v>61</v>
      </c>
      <c r="L3" s="36" t="s">
        <v>19</v>
      </c>
      <c r="M3" s="21">
        <v>64</v>
      </c>
      <c r="N3" s="30"/>
    </row>
    <row r="4" spans="1:14" x14ac:dyDescent="0.35">
      <c r="A4" t="s">
        <v>204</v>
      </c>
      <c r="B4" s="6" t="s">
        <v>172</v>
      </c>
      <c r="C4" s="21">
        <v>69</v>
      </c>
      <c r="D4" s="6" t="s">
        <v>172</v>
      </c>
      <c r="E4" s="21">
        <v>64</v>
      </c>
      <c r="F4" s="36" t="s">
        <v>172</v>
      </c>
      <c r="G4" s="21">
        <v>62</v>
      </c>
      <c r="H4" s="36" t="s">
        <v>172</v>
      </c>
      <c r="I4" s="21">
        <v>84</v>
      </c>
      <c r="J4" s="36" t="s">
        <v>172</v>
      </c>
      <c r="K4" s="21">
        <v>86</v>
      </c>
      <c r="L4" s="36" t="s">
        <v>172</v>
      </c>
      <c r="M4" s="21">
        <v>54</v>
      </c>
      <c r="N4" s="30"/>
    </row>
    <row r="5" spans="1:14" x14ac:dyDescent="0.35">
      <c r="A5" t="s">
        <v>224</v>
      </c>
      <c r="B5" s="6" t="s">
        <v>224</v>
      </c>
      <c r="C5" s="22" t="s">
        <v>4</v>
      </c>
      <c r="D5" s="6" t="s">
        <v>224</v>
      </c>
      <c r="E5" s="37" t="s">
        <v>4</v>
      </c>
      <c r="F5" s="36" t="s">
        <v>224</v>
      </c>
      <c r="G5" s="37" t="s">
        <v>4</v>
      </c>
      <c r="H5" s="36" t="s">
        <v>224</v>
      </c>
      <c r="I5" s="37" t="s">
        <v>4</v>
      </c>
      <c r="J5" s="36" t="s">
        <v>224</v>
      </c>
      <c r="K5" s="37" t="s">
        <v>4</v>
      </c>
      <c r="L5" s="36" t="s">
        <v>20</v>
      </c>
      <c r="M5" s="21">
        <v>11</v>
      </c>
      <c r="N5" s="30"/>
    </row>
    <row r="6" spans="1:14" x14ac:dyDescent="0.35">
      <c r="A6" t="s">
        <v>205</v>
      </c>
      <c r="B6" s="6" t="s">
        <v>173</v>
      </c>
      <c r="C6" s="21">
        <v>8</v>
      </c>
      <c r="D6" s="6" t="s">
        <v>173</v>
      </c>
      <c r="E6" s="21">
        <v>8</v>
      </c>
      <c r="F6" s="36" t="s">
        <v>173</v>
      </c>
      <c r="G6" s="21">
        <v>16</v>
      </c>
      <c r="H6" s="36" t="s">
        <v>173</v>
      </c>
      <c r="I6" s="21">
        <v>4</v>
      </c>
      <c r="J6" s="36" t="s">
        <v>173</v>
      </c>
      <c r="K6" s="21">
        <v>7</v>
      </c>
      <c r="L6" s="36" t="s">
        <v>173</v>
      </c>
      <c r="M6" s="21">
        <v>7</v>
      </c>
      <c r="N6" s="30"/>
    </row>
    <row r="7" spans="1:14" x14ac:dyDescent="0.35">
      <c r="A7" t="s">
        <v>206</v>
      </c>
      <c r="B7" s="6" t="s">
        <v>22</v>
      </c>
      <c r="C7" s="21">
        <v>163</v>
      </c>
      <c r="D7" s="6" t="s">
        <v>22</v>
      </c>
      <c r="E7" s="21">
        <v>177</v>
      </c>
      <c r="F7" s="36" t="s">
        <v>22</v>
      </c>
      <c r="G7" s="21">
        <v>192</v>
      </c>
      <c r="H7" s="36" t="s">
        <v>22</v>
      </c>
      <c r="I7" s="21">
        <v>190</v>
      </c>
      <c r="J7" s="36" t="s">
        <v>22</v>
      </c>
      <c r="K7" s="21">
        <v>220</v>
      </c>
      <c r="L7" s="36" t="s">
        <v>22</v>
      </c>
      <c r="M7" s="21">
        <v>233</v>
      </c>
      <c r="N7" s="30"/>
    </row>
    <row r="8" spans="1:14" x14ac:dyDescent="0.35">
      <c r="A8" t="s">
        <v>205</v>
      </c>
      <c r="B8" s="6" t="s">
        <v>23</v>
      </c>
      <c r="C8" s="21">
        <v>26</v>
      </c>
      <c r="D8" s="6" t="s">
        <v>23</v>
      </c>
      <c r="E8" s="21">
        <v>22</v>
      </c>
      <c r="F8" s="36" t="s">
        <v>23</v>
      </c>
      <c r="G8" s="21">
        <v>13</v>
      </c>
      <c r="H8" s="36" t="s">
        <v>23</v>
      </c>
      <c r="I8" s="21">
        <v>26</v>
      </c>
      <c r="J8" s="36" t="s">
        <v>23</v>
      </c>
      <c r="K8" s="21">
        <v>18</v>
      </c>
      <c r="L8" s="36" t="s">
        <v>23</v>
      </c>
      <c r="M8" s="21">
        <v>16</v>
      </c>
      <c r="N8" s="30"/>
    </row>
    <row r="9" spans="1:14" x14ac:dyDescent="0.35">
      <c r="A9" t="s">
        <v>208</v>
      </c>
      <c r="B9" s="6" t="s">
        <v>24</v>
      </c>
      <c r="C9" s="21">
        <v>22</v>
      </c>
      <c r="D9" s="6" t="s">
        <v>24</v>
      </c>
      <c r="E9" s="21">
        <v>14</v>
      </c>
      <c r="F9" s="36" t="s">
        <v>24</v>
      </c>
      <c r="G9" s="21">
        <v>20</v>
      </c>
      <c r="H9" s="36" t="s">
        <v>24</v>
      </c>
      <c r="I9" s="21">
        <v>8</v>
      </c>
      <c r="J9" s="36" t="s">
        <v>24</v>
      </c>
      <c r="K9" s="21">
        <v>16</v>
      </c>
      <c r="L9" s="36" t="s">
        <v>24</v>
      </c>
      <c r="M9" s="21">
        <v>20</v>
      </c>
      <c r="N9" s="30"/>
    </row>
    <row r="10" spans="1:14" x14ac:dyDescent="0.35">
      <c r="A10" t="s">
        <v>200</v>
      </c>
      <c r="B10" s="6" t="s">
        <v>174</v>
      </c>
      <c r="C10" s="21">
        <v>28</v>
      </c>
      <c r="D10" s="6" t="s">
        <v>174</v>
      </c>
      <c r="E10" s="21">
        <v>27</v>
      </c>
      <c r="F10" s="36" t="s">
        <v>174</v>
      </c>
      <c r="G10" s="21">
        <v>41</v>
      </c>
      <c r="H10" s="36" t="s">
        <v>174</v>
      </c>
      <c r="I10" s="21">
        <v>22</v>
      </c>
      <c r="J10" s="36" t="s">
        <v>174</v>
      </c>
      <c r="K10" s="21">
        <v>22</v>
      </c>
      <c r="L10" s="36" t="s">
        <v>174</v>
      </c>
      <c r="M10" s="21">
        <v>20</v>
      </c>
      <c r="N10" s="30"/>
    </row>
    <row r="11" spans="1:14" x14ac:dyDescent="0.35">
      <c r="A11" t="s">
        <v>209</v>
      </c>
      <c r="B11" s="6" t="s">
        <v>168</v>
      </c>
      <c r="C11" s="21">
        <v>16</v>
      </c>
      <c r="D11" s="6" t="s">
        <v>168</v>
      </c>
      <c r="E11" s="21">
        <v>23</v>
      </c>
      <c r="F11" s="36" t="s">
        <v>168</v>
      </c>
      <c r="G11" s="21">
        <v>22</v>
      </c>
      <c r="H11" s="36" t="s">
        <v>168</v>
      </c>
      <c r="I11" s="21">
        <v>37</v>
      </c>
      <c r="J11" s="36" t="s">
        <v>168</v>
      </c>
      <c r="K11" s="21">
        <v>38</v>
      </c>
      <c r="L11" s="36" t="s">
        <v>168</v>
      </c>
      <c r="M11" s="21">
        <v>26</v>
      </c>
      <c r="N11" s="30"/>
    </row>
    <row r="12" spans="1:14" x14ac:dyDescent="0.35">
      <c r="A12" t="s">
        <v>210</v>
      </c>
      <c r="B12" s="6" t="s">
        <v>25</v>
      </c>
      <c r="C12" s="21">
        <v>11</v>
      </c>
      <c r="D12" s="6" t="s">
        <v>25</v>
      </c>
      <c r="E12" s="21">
        <v>41</v>
      </c>
      <c r="F12" s="36" t="s">
        <v>25</v>
      </c>
      <c r="G12" s="21">
        <v>50</v>
      </c>
      <c r="H12" s="36" t="s">
        <v>25</v>
      </c>
      <c r="I12" s="21">
        <v>51</v>
      </c>
      <c r="J12" s="36" t="s">
        <v>25</v>
      </c>
      <c r="K12" s="21">
        <v>59</v>
      </c>
      <c r="L12" s="36" t="s">
        <v>25</v>
      </c>
      <c r="M12" s="21">
        <v>29</v>
      </c>
      <c r="N12" s="30"/>
    </row>
    <row r="13" spans="1:14" x14ac:dyDescent="0.35">
      <c r="A13" t="s">
        <v>211</v>
      </c>
      <c r="B13" s="6" t="s">
        <v>182</v>
      </c>
      <c r="C13" s="21">
        <v>71</v>
      </c>
      <c r="D13" s="6" t="s">
        <v>182</v>
      </c>
      <c r="E13" s="21">
        <v>120</v>
      </c>
      <c r="F13" s="36" t="s">
        <v>182</v>
      </c>
      <c r="G13" s="21">
        <v>93</v>
      </c>
      <c r="H13" s="36" t="s">
        <v>182</v>
      </c>
      <c r="I13" s="21">
        <v>90</v>
      </c>
      <c r="J13" s="36" t="s">
        <v>182</v>
      </c>
      <c r="K13" s="21">
        <v>97</v>
      </c>
      <c r="L13" s="36" t="s">
        <v>182</v>
      </c>
      <c r="M13" s="21">
        <v>69</v>
      </c>
      <c r="N13" s="30"/>
    </row>
    <row r="14" spans="1:14" x14ac:dyDescent="0.35">
      <c r="A14" t="s">
        <v>206</v>
      </c>
      <c r="B14" s="6" t="s">
        <v>26</v>
      </c>
      <c r="C14" s="21">
        <v>10</v>
      </c>
      <c r="D14" s="6" t="s">
        <v>26</v>
      </c>
      <c r="E14" s="21">
        <v>79</v>
      </c>
      <c r="F14" s="36" t="s">
        <v>26</v>
      </c>
      <c r="G14" s="21">
        <v>116</v>
      </c>
      <c r="H14" s="36" t="s">
        <v>26</v>
      </c>
      <c r="I14" s="21">
        <v>15</v>
      </c>
      <c r="J14" s="36" t="s">
        <v>26</v>
      </c>
      <c r="K14" s="21">
        <v>23</v>
      </c>
      <c r="L14" s="36" t="s">
        <v>26</v>
      </c>
      <c r="M14" s="21">
        <v>18</v>
      </c>
      <c r="N14" s="30"/>
    </row>
    <row r="15" spans="1:14" x14ac:dyDescent="0.35">
      <c r="A15" t="s">
        <v>212</v>
      </c>
      <c r="B15" s="6" t="s">
        <v>27</v>
      </c>
      <c r="C15" s="21">
        <v>61</v>
      </c>
      <c r="D15" s="6" t="s">
        <v>27</v>
      </c>
      <c r="E15" s="21">
        <v>44</v>
      </c>
      <c r="F15" s="36" t="s">
        <v>27</v>
      </c>
      <c r="G15" s="21">
        <v>63</v>
      </c>
      <c r="H15" s="36" t="s">
        <v>27</v>
      </c>
      <c r="I15" s="21">
        <v>64</v>
      </c>
      <c r="J15" s="36" t="s">
        <v>27</v>
      </c>
      <c r="K15" s="21">
        <v>76</v>
      </c>
      <c r="L15" s="36" t="s">
        <v>27</v>
      </c>
      <c r="M15" s="21">
        <v>78</v>
      </c>
      <c r="N15" s="30"/>
    </row>
    <row r="16" spans="1:14" x14ac:dyDescent="0.35">
      <c r="A16" t="s">
        <v>204</v>
      </c>
      <c r="B16" s="35" t="s">
        <v>28</v>
      </c>
      <c r="C16" s="22" t="s">
        <v>4</v>
      </c>
      <c r="D16" s="35" t="s">
        <v>28</v>
      </c>
      <c r="E16" s="37" t="s">
        <v>4</v>
      </c>
      <c r="F16" s="36" t="s">
        <v>28</v>
      </c>
      <c r="G16" s="37" t="s">
        <v>4</v>
      </c>
      <c r="H16" s="36" t="s">
        <v>28</v>
      </c>
      <c r="I16" s="37" t="s">
        <v>4</v>
      </c>
      <c r="J16" s="36" t="s">
        <v>28</v>
      </c>
      <c r="K16" s="21">
        <v>25</v>
      </c>
      <c r="L16" s="36" t="s">
        <v>28</v>
      </c>
      <c r="M16" s="21">
        <v>19</v>
      </c>
      <c r="N16" s="30"/>
    </row>
    <row r="17" spans="1:14" x14ac:dyDescent="0.35">
      <c r="A17" t="s">
        <v>213</v>
      </c>
      <c r="B17" s="6" t="s">
        <v>29</v>
      </c>
      <c r="C17" s="21">
        <v>33</v>
      </c>
      <c r="D17" s="6" t="s">
        <v>29</v>
      </c>
      <c r="E17" s="21">
        <v>49</v>
      </c>
      <c r="F17" s="36" t="s">
        <v>29</v>
      </c>
      <c r="G17" s="21">
        <v>50</v>
      </c>
      <c r="H17" s="36" t="s">
        <v>29</v>
      </c>
      <c r="I17" s="21">
        <v>22</v>
      </c>
      <c r="J17" s="36" t="s">
        <v>29</v>
      </c>
      <c r="K17" s="21">
        <v>28</v>
      </c>
      <c r="L17" s="36" t="s">
        <v>29</v>
      </c>
      <c r="M17" s="21">
        <v>29</v>
      </c>
      <c r="N17" s="30"/>
    </row>
    <row r="18" spans="1:14" x14ac:dyDescent="0.35">
      <c r="A18" t="s">
        <v>205</v>
      </c>
      <c r="B18" s="6" t="s">
        <v>30</v>
      </c>
      <c r="C18" s="21">
        <v>3</v>
      </c>
      <c r="D18" s="6" t="s">
        <v>30</v>
      </c>
      <c r="E18" s="21">
        <v>4</v>
      </c>
      <c r="F18" s="36" t="s">
        <v>30</v>
      </c>
      <c r="G18" s="37" t="s">
        <v>4</v>
      </c>
      <c r="H18" s="36" t="s">
        <v>30</v>
      </c>
      <c r="I18" s="37" t="s">
        <v>4</v>
      </c>
      <c r="J18" s="36" t="s">
        <v>30</v>
      </c>
      <c r="K18" s="37" t="s">
        <v>4</v>
      </c>
      <c r="L18" s="36" t="s">
        <v>30</v>
      </c>
      <c r="M18" s="37" t="s">
        <v>4</v>
      </c>
      <c r="N18" s="39"/>
    </row>
    <row r="19" spans="1:14" x14ac:dyDescent="0.35">
      <c r="A19" t="s">
        <v>204</v>
      </c>
      <c r="B19" s="6" t="s">
        <v>31</v>
      </c>
      <c r="C19" s="21">
        <v>25</v>
      </c>
      <c r="D19" s="6" t="s">
        <v>31</v>
      </c>
      <c r="E19" s="21">
        <v>8</v>
      </c>
      <c r="F19" s="36" t="s">
        <v>31</v>
      </c>
      <c r="G19" s="21">
        <v>10</v>
      </c>
      <c r="H19" s="36" t="s">
        <v>31</v>
      </c>
      <c r="I19" s="21">
        <v>16</v>
      </c>
      <c r="J19" s="36" t="s">
        <v>31</v>
      </c>
      <c r="K19" s="21">
        <v>15</v>
      </c>
      <c r="L19" s="36" t="s">
        <v>31</v>
      </c>
      <c r="M19" s="21">
        <v>16</v>
      </c>
      <c r="N19" s="30"/>
    </row>
    <row r="20" spans="1:14" x14ac:dyDescent="0.35">
      <c r="A20" t="s">
        <v>210</v>
      </c>
      <c r="B20" s="6" t="s">
        <v>33</v>
      </c>
      <c r="C20" s="21">
        <v>57</v>
      </c>
      <c r="D20" s="6" t="s">
        <v>33</v>
      </c>
      <c r="E20" s="21">
        <v>69</v>
      </c>
      <c r="F20" s="36" t="s">
        <v>33</v>
      </c>
      <c r="G20" s="21">
        <v>57</v>
      </c>
      <c r="H20" s="36" t="s">
        <v>33</v>
      </c>
      <c r="I20" s="21">
        <v>69</v>
      </c>
      <c r="J20" s="36" t="s">
        <v>33</v>
      </c>
      <c r="K20" s="21">
        <v>82</v>
      </c>
      <c r="L20" s="36" t="s">
        <v>33</v>
      </c>
      <c r="M20" s="21">
        <v>50</v>
      </c>
      <c r="N20" s="30"/>
    </row>
    <row r="21" spans="1:14" x14ac:dyDescent="0.35">
      <c r="A21" t="s">
        <v>205</v>
      </c>
      <c r="B21" s="15" t="s">
        <v>170</v>
      </c>
      <c r="C21" s="21">
        <v>25</v>
      </c>
      <c r="D21" s="15" t="s">
        <v>170</v>
      </c>
      <c r="E21" s="21">
        <v>28</v>
      </c>
      <c r="F21" s="38" t="s">
        <v>170</v>
      </c>
      <c r="G21" s="21">
        <v>35</v>
      </c>
      <c r="H21" s="38" t="s">
        <v>170</v>
      </c>
      <c r="I21" s="21">
        <v>20</v>
      </c>
      <c r="J21" s="38" t="s">
        <v>170</v>
      </c>
      <c r="K21" s="21">
        <v>20</v>
      </c>
      <c r="L21" s="38" t="s">
        <v>170</v>
      </c>
      <c r="M21" s="21">
        <v>23</v>
      </c>
      <c r="N21" s="30"/>
    </row>
    <row r="22" spans="1:14" x14ac:dyDescent="0.35">
      <c r="A22" t="s">
        <v>205</v>
      </c>
      <c r="B22" s="6" t="s">
        <v>169</v>
      </c>
      <c r="C22" s="21">
        <v>30</v>
      </c>
      <c r="D22" s="6" t="s">
        <v>169</v>
      </c>
      <c r="E22" s="21">
        <v>42</v>
      </c>
      <c r="F22" s="36" t="s">
        <v>169</v>
      </c>
      <c r="G22" s="21">
        <v>26</v>
      </c>
      <c r="H22" s="36" t="s">
        <v>169</v>
      </c>
      <c r="I22" s="21">
        <v>41</v>
      </c>
      <c r="J22" s="36" t="s">
        <v>169</v>
      </c>
      <c r="K22" s="21">
        <v>39</v>
      </c>
      <c r="L22" s="36" t="s">
        <v>169</v>
      </c>
      <c r="M22" s="21">
        <v>36</v>
      </c>
      <c r="N22" s="30"/>
    </row>
    <row r="23" spans="1:14" x14ac:dyDescent="0.35">
      <c r="A23" t="s">
        <v>223</v>
      </c>
      <c r="B23" s="6" t="s">
        <v>34</v>
      </c>
      <c r="C23" s="21">
        <v>86</v>
      </c>
      <c r="D23" s="6" t="s">
        <v>34</v>
      </c>
      <c r="E23" s="21">
        <v>94</v>
      </c>
      <c r="F23" s="36" t="s">
        <v>34</v>
      </c>
      <c r="G23" s="21">
        <v>90</v>
      </c>
      <c r="H23" s="36" t="s">
        <v>34</v>
      </c>
      <c r="I23" s="21">
        <v>97</v>
      </c>
      <c r="J23" s="36" t="s">
        <v>34</v>
      </c>
      <c r="K23" s="21">
        <v>93</v>
      </c>
      <c r="L23" s="36" t="s">
        <v>34</v>
      </c>
      <c r="M23" s="21">
        <v>99</v>
      </c>
      <c r="N23" s="30"/>
    </row>
    <row r="24" spans="1:14" x14ac:dyDescent="0.35">
      <c r="A24" t="s">
        <v>205</v>
      </c>
      <c r="B24" s="6" t="s">
        <v>171</v>
      </c>
      <c r="C24" s="21">
        <v>228</v>
      </c>
      <c r="D24" s="6" t="s">
        <v>171</v>
      </c>
      <c r="E24" s="21">
        <v>268</v>
      </c>
      <c r="F24" s="36" t="s">
        <v>171</v>
      </c>
      <c r="G24" s="21">
        <v>271</v>
      </c>
      <c r="H24" s="36" t="s">
        <v>171</v>
      </c>
      <c r="I24" s="21">
        <v>262</v>
      </c>
      <c r="J24" s="36" t="s">
        <v>171</v>
      </c>
      <c r="K24" s="21">
        <v>281</v>
      </c>
      <c r="L24" s="36" t="s">
        <v>171</v>
      </c>
      <c r="M24" s="21">
        <v>259</v>
      </c>
      <c r="N24" s="30"/>
    </row>
    <row r="25" spans="1:14" x14ac:dyDescent="0.35">
      <c r="A25" t="s">
        <v>206</v>
      </c>
      <c r="B25" s="6" t="s">
        <v>35</v>
      </c>
      <c r="C25" s="21">
        <v>40</v>
      </c>
      <c r="D25" s="6" t="s">
        <v>35</v>
      </c>
      <c r="E25" s="21">
        <v>32</v>
      </c>
      <c r="F25" s="36" t="s">
        <v>35</v>
      </c>
      <c r="G25" s="21">
        <v>25</v>
      </c>
      <c r="H25" s="36" t="s">
        <v>35</v>
      </c>
      <c r="I25" s="21">
        <v>20</v>
      </c>
      <c r="J25" s="36" t="s">
        <v>35</v>
      </c>
      <c r="K25" s="21">
        <v>22</v>
      </c>
      <c r="L25" s="36" t="s">
        <v>35</v>
      </c>
      <c r="M25" s="21">
        <v>23</v>
      </c>
      <c r="N25" s="30"/>
    </row>
    <row r="26" spans="1:14" x14ac:dyDescent="0.35">
      <c r="A26" t="s">
        <v>215</v>
      </c>
      <c r="B26" s="6" t="s">
        <v>175</v>
      </c>
      <c r="C26" s="21">
        <v>123</v>
      </c>
      <c r="D26" s="6" t="s">
        <v>175</v>
      </c>
      <c r="E26" s="21">
        <v>204</v>
      </c>
      <c r="F26" s="36" t="s">
        <v>175</v>
      </c>
      <c r="G26" s="21">
        <v>236</v>
      </c>
      <c r="H26" s="36" t="s">
        <v>175</v>
      </c>
      <c r="I26" s="21">
        <v>276</v>
      </c>
      <c r="J26" s="36" t="s">
        <v>175</v>
      </c>
      <c r="K26" s="21">
        <v>176</v>
      </c>
      <c r="L26" s="36" t="s">
        <v>175</v>
      </c>
      <c r="M26" s="21">
        <v>129</v>
      </c>
      <c r="N26" s="30"/>
    </row>
    <row r="27" spans="1:14" x14ac:dyDescent="0.35">
      <c r="A27" t="s">
        <v>215</v>
      </c>
      <c r="B27" s="6" t="s">
        <v>176</v>
      </c>
      <c r="C27" s="21">
        <v>54</v>
      </c>
      <c r="D27" s="6" t="s">
        <v>176</v>
      </c>
      <c r="E27" s="21">
        <v>66</v>
      </c>
      <c r="F27" s="36" t="s">
        <v>176</v>
      </c>
      <c r="G27" s="21">
        <v>57</v>
      </c>
      <c r="H27" s="36" t="s">
        <v>176</v>
      </c>
      <c r="I27" s="21">
        <v>69</v>
      </c>
      <c r="J27" s="36" t="s">
        <v>176</v>
      </c>
      <c r="K27" s="21">
        <v>61</v>
      </c>
      <c r="L27" s="36" t="s">
        <v>176</v>
      </c>
      <c r="M27" s="21">
        <v>71</v>
      </c>
      <c r="N27" s="30"/>
    </row>
    <row r="28" spans="1:14" x14ac:dyDescent="0.35">
      <c r="A28" t="s">
        <v>215</v>
      </c>
      <c r="B28" s="6" t="s">
        <v>177</v>
      </c>
      <c r="C28" s="21">
        <v>30</v>
      </c>
      <c r="D28" s="6" t="s">
        <v>177</v>
      </c>
      <c r="E28" s="21">
        <v>58</v>
      </c>
      <c r="F28" s="36" t="s">
        <v>177</v>
      </c>
      <c r="G28" s="21">
        <v>76</v>
      </c>
      <c r="H28" s="36" t="s">
        <v>177</v>
      </c>
      <c r="I28" s="21">
        <v>65</v>
      </c>
      <c r="J28" s="36" t="s">
        <v>177</v>
      </c>
      <c r="K28" s="21">
        <v>69</v>
      </c>
      <c r="L28" s="36" t="s">
        <v>177</v>
      </c>
      <c r="M28" s="21">
        <v>48</v>
      </c>
      <c r="N28" s="30"/>
    </row>
    <row r="29" spans="1:14" x14ac:dyDescent="0.35">
      <c r="A29" t="s">
        <v>216</v>
      </c>
      <c r="B29" s="15" t="s">
        <v>38</v>
      </c>
      <c r="C29" s="21">
        <v>91</v>
      </c>
      <c r="D29" s="15" t="s">
        <v>38</v>
      </c>
      <c r="E29" s="21">
        <v>88</v>
      </c>
      <c r="F29" s="38" t="s">
        <v>38</v>
      </c>
      <c r="G29" s="21">
        <v>79</v>
      </c>
      <c r="H29" s="38" t="s">
        <v>38</v>
      </c>
      <c r="I29" s="21">
        <v>93</v>
      </c>
      <c r="J29" s="38" t="s">
        <v>38</v>
      </c>
      <c r="K29" s="21">
        <v>146</v>
      </c>
      <c r="L29" s="38" t="s">
        <v>38</v>
      </c>
      <c r="M29" s="21">
        <v>81</v>
      </c>
      <c r="N29" s="30"/>
    </row>
    <row r="30" spans="1:14" x14ac:dyDescent="0.35">
      <c r="A30" t="s">
        <v>210</v>
      </c>
      <c r="B30" s="6" t="s">
        <v>39</v>
      </c>
      <c r="C30" s="21">
        <v>80</v>
      </c>
      <c r="D30" s="6" t="s">
        <v>39</v>
      </c>
      <c r="E30" s="21">
        <v>81</v>
      </c>
      <c r="F30" s="36" t="s">
        <v>39</v>
      </c>
      <c r="G30" s="21">
        <v>78</v>
      </c>
      <c r="H30" s="36" t="s">
        <v>39</v>
      </c>
      <c r="I30" s="21">
        <v>72</v>
      </c>
      <c r="J30" s="36" t="s">
        <v>39</v>
      </c>
      <c r="K30" s="21">
        <v>78</v>
      </c>
      <c r="L30" s="36" t="s">
        <v>39</v>
      </c>
      <c r="M30" s="21">
        <v>40</v>
      </c>
      <c r="N30" s="30"/>
    </row>
    <row r="31" spans="1:14" x14ac:dyDescent="0.35">
      <c r="A31" t="s">
        <v>205</v>
      </c>
      <c r="B31" s="6" t="s">
        <v>41</v>
      </c>
      <c r="C31" s="21">
        <v>36</v>
      </c>
      <c r="D31" s="6" t="s">
        <v>41</v>
      </c>
      <c r="E31" s="21">
        <v>57</v>
      </c>
      <c r="F31" s="36" t="s">
        <v>41</v>
      </c>
      <c r="G31" s="21">
        <v>88</v>
      </c>
      <c r="H31" s="36" t="s">
        <v>41</v>
      </c>
      <c r="I31" s="21">
        <v>44</v>
      </c>
      <c r="J31" s="36" t="s">
        <v>41</v>
      </c>
      <c r="K31" s="21">
        <v>60</v>
      </c>
      <c r="L31" s="36" t="s">
        <v>41</v>
      </c>
      <c r="M31" s="21">
        <v>98</v>
      </c>
      <c r="N31" s="30"/>
    </row>
    <row r="32" spans="1:14" x14ac:dyDescent="0.35">
      <c r="A32" t="s">
        <v>217</v>
      </c>
      <c r="B32" s="35" t="s">
        <v>43</v>
      </c>
      <c r="C32" s="21">
        <v>15</v>
      </c>
      <c r="D32" s="35" t="s">
        <v>43</v>
      </c>
      <c r="E32" s="21">
        <v>10</v>
      </c>
      <c r="F32" s="36" t="s">
        <v>43</v>
      </c>
      <c r="G32" s="21">
        <v>10</v>
      </c>
      <c r="H32" s="36" t="s">
        <v>43</v>
      </c>
      <c r="I32" s="21">
        <v>10</v>
      </c>
      <c r="J32" s="36" t="s">
        <v>43</v>
      </c>
      <c r="K32" s="21">
        <v>13</v>
      </c>
      <c r="L32" s="36" t="s">
        <v>43</v>
      </c>
      <c r="M32" s="21">
        <v>12</v>
      </c>
      <c r="N32" s="30"/>
    </row>
    <row r="33" spans="1:14" x14ac:dyDescent="0.35">
      <c r="A33" t="s">
        <v>212</v>
      </c>
      <c r="B33" s="6" t="s">
        <v>44</v>
      </c>
      <c r="C33" s="21">
        <v>8</v>
      </c>
      <c r="D33" s="6" t="s">
        <v>44</v>
      </c>
      <c r="E33" s="21">
        <v>18</v>
      </c>
      <c r="F33" s="36" t="s">
        <v>44</v>
      </c>
      <c r="G33" s="21">
        <v>23</v>
      </c>
      <c r="H33" s="36" t="s">
        <v>44</v>
      </c>
      <c r="I33" s="21">
        <v>22</v>
      </c>
      <c r="J33" s="36" t="s">
        <v>44</v>
      </c>
      <c r="K33" s="21">
        <v>26</v>
      </c>
      <c r="L33" s="36" t="s">
        <v>44</v>
      </c>
      <c r="M33" s="21">
        <v>18</v>
      </c>
      <c r="N33" s="30"/>
    </row>
    <row r="34" spans="1:14" x14ac:dyDescent="0.35">
      <c r="A34" t="s">
        <v>200</v>
      </c>
      <c r="B34" s="35" t="s">
        <v>221</v>
      </c>
      <c r="C34" s="22" t="s">
        <v>4</v>
      </c>
      <c r="D34" s="35" t="s">
        <v>221</v>
      </c>
      <c r="E34" s="22" t="s">
        <v>4</v>
      </c>
      <c r="F34" s="36" t="s">
        <v>221</v>
      </c>
      <c r="G34" s="22" t="s">
        <v>4</v>
      </c>
      <c r="H34" s="36" t="s">
        <v>221</v>
      </c>
      <c r="I34" s="22" t="s">
        <v>4</v>
      </c>
      <c r="J34" s="36" t="s">
        <v>221</v>
      </c>
      <c r="K34" s="22" t="s">
        <v>4</v>
      </c>
      <c r="L34" s="36" t="s">
        <v>221</v>
      </c>
      <c r="M34" s="21">
        <v>37</v>
      </c>
      <c r="N34" s="30"/>
    </row>
    <row r="35" spans="1:14" x14ac:dyDescent="0.35">
      <c r="A35" t="s">
        <v>209</v>
      </c>
      <c r="B35" s="6" t="s">
        <v>178</v>
      </c>
      <c r="C35" s="21">
        <v>102</v>
      </c>
      <c r="D35" s="6" t="s">
        <v>178</v>
      </c>
      <c r="E35" s="21">
        <v>83</v>
      </c>
      <c r="F35" s="36" t="s">
        <v>178</v>
      </c>
      <c r="G35" s="21">
        <v>95</v>
      </c>
      <c r="H35" s="36" t="s">
        <v>178</v>
      </c>
      <c r="I35" s="21">
        <v>66</v>
      </c>
      <c r="J35" s="36" t="s">
        <v>178</v>
      </c>
      <c r="K35" s="21">
        <v>75</v>
      </c>
      <c r="L35" s="36" t="s">
        <v>178</v>
      </c>
      <c r="M35" s="21">
        <v>71</v>
      </c>
      <c r="N35" s="30"/>
    </row>
    <row r="36" spans="1:14" x14ac:dyDescent="0.35">
      <c r="A36" t="s">
        <v>209</v>
      </c>
      <c r="B36" s="6" t="s">
        <v>45</v>
      </c>
      <c r="C36" s="21">
        <v>102</v>
      </c>
      <c r="D36" s="6" t="s">
        <v>45</v>
      </c>
      <c r="E36" s="21">
        <v>142</v>
      </c>
      <c r="F36" s="36" t="s">
        <v>45</v>
      </c>
      <c r="G36" s="21">
        <v>138</v>
      </c>
      <c r="H36" s="36" t="s">
        <v>45</v>
      </c>
      <c r="I36" s="21">
        <v>171</v>
      </c>
      <c r="J36" s="36" t="s">
        <v>45</v>
      </c>
      <c r="K36" s="21">
        <v>171</v>
      </c>
      <c r="L36" s="36" t="s">
        <v>45</v>
      </c>
      <c r="M36" s="21">
        <v>165</v>
      </c>
      <c r="N36" s="30"/>
    </row>
    <row r="37" spans="1:14" x14ac:dyDescent="0.35">
      <c r="A37" t="s">
        <v>209</v>
      </c>
      <c r="B37" s="6" t="s">
        <v>46</v>
      </c>
      <c r="C37" s="21">
        <v>74</v>
      </c>
      <c r="D37" s="6" t="s">
        <v>46</v>
      </c>
      <c r="E37" s="21">
        <v>109</v>
      </c>
      <c r="F37" s="36" t="s">
        <v>46</v>
      </c>
      <c r="G37" s="21">
        <v>93</v>
      </c>
      <c r="H37" s="36" t="s">
        <v>46</v>
      </c>
      <c r="I37" s="21">
        <v>120</v>
      </c>
      <c r="J37" s="36" t="s">
        <v>46</v>
      </c>
      <c r="K37" s="21">
        <v>122</v>
      </c>
      <c r="L37" s="36" t="s">
        <v>46</v>
      </c>
      <c r="M37" s="21">
        <v>111</v>
      </c>
      <c r="N37" s="30"/>
    </row>
    <row r="38" spans="1:14" x14ac:dyDescent="0.35">
      <c r="A38" t="s">
        <v>209</v>
      </c>
      <c r="B38" s="6" t="s">
        <v>220</v>
      </c>
      <c r="C38" s="21"/>
      <c r="D38" s="6" t="s">
        <v>220</v>
      </c>
      <c r="E38" s="21">
        <v>22</v>
      </c>
      <c r="F38" s="36" t="s">
        <v>220</v>
      </c>
      <c r="G38" s="21">
        <v>19</v>
      </c>
      <c r="H38" s="36" t="s">
        <v>220</v>
      </c>
      <c r="I38" s="21">
        <v>24</v>
      </c>
      <c r="J38" s="36" t="s">
        <v>220</v>
      </c>
      <c r="K38" s="21">
        <v>8</v>
      </c>
      <c r="L38" s="36" t="s">
        <v>220</v>
      </c>
      <c r="M38" s="21">
        <v>16</v>
      </c>
      <c r="N38" s="30"/>
    </row>
    <row r="39" spans="1:14" x14ac:dyDescent="0.35">
      <c r="A39" t="s">
        <v>209</v>
      </c>
      <c r="B39" s="6" t="s">
        <v>179</v>
      </c>
      <c r="C39" s="21">
        <v>93</v>
      </c>
      <c r="D39" s="6" t="s">
        <v>179</v>
      </c>
      <c r="E39" s="21">
        <v>101</v>
      </c>
      <c r="F39" s="36" t="s">
        <v>179</v>
      </c>
      <c r="G39" s="21">
        <v>107</v>
      </c>
      <c r="H39" s="36" t="s">
        <v>179</v>
      </c>
      <c r="I39" s="21">
        <v>94</v>
      </c>
      <c r="J39" s="36" t="s">
        <v>179</v>
      </c>
      <c r="K39" s="21">
        <v>118</v>
      </c>
      <c r="L39" s="36" t="s">
        <v>179</v>
      </c>
      <c r="M39" s="21">
        <v>145</v>
      </c>
      <c r="N39" s="30"/>
    </row>
    <row r="40" spans="1:14" x14ac:dyDescent="0.35">
      <c r="A40" t="s">
        <v>215</v>
      </c>
      <c r="B40" s="6" t="s">
        <v>47</v>
      </c>
      <c r="C40" s="21">
        <v>62</v>
      </c>
      <c r="D40" s="6" t="s">
        <v>47</v>
      </c>
      <c r="E40" s="21">
        <v>59</v>
      </c>
      <c r="F40" s="36" t="s">
        <v>47</v>
      </c>
      <c r="G40" s="21">
        <v>70</v>
      </c>
      <c r="H40" s="36" t="s">
        <v>47</v>
      </c>
      <c r="I40" s="21">
        <v>68</v>
      </c>
      <c r="J40" s="36" t="s">
        <v>47</v>
      </c>
      <c r="K40" s="21">
        <v>84</v>
      </c>
      <c r="L40" s="36" t="s">
        <v>47</v>
      </c>
      <c r="M40" s="21">
        <v>75</v>
      </c>
      <c r="N40" s="30"/>
    </row>
    <row r="41" spans="1:14" x14ac:dyDescent="0.35">
      <c r="A41" t="s">
        <v>208</v>
      </c>
      <c r="B41" s="6" t="s">
        <v>48</v>
      </c>
      <c r="C41" s="21">
        <v>21</v>
      </c>
      <c r="D41" s="6" t="s">
        <v>48</v>
      </c>
      <c r="E41" s="21">
        <v>13</v>
      </c>
      <c r="F41" s="36" t="s">
        <v>48</v>
      </c>
      <c r="G41" s="21">
        <v>13</v>
      </c>
      <c r="H41" s="36" t="s">
        <v>48</v>
      </c>
      <c r="I41" s="21">
        <v>17</v>
      </c>
      <c r="J41" s="36" t="s">
        <v>48</v>
      </c>
      <c r="K41" s="21">
        <v>12</v>
      </c>
      <c r="L41" s="36" t="s">
        <v>48</v>
      </c>
      <c r="M41" s="21">
        <v>22</v>
      </c>
      <c r="N41" s="30"/>
    </row>
    <row r="42" spans="1:14" x14ac:dyDescent="0.35">
      <c r="A42" t="s">
        <v>212</v>
      </c>
      <c r="B42" s="6" t="s">
        <v>49</v>
      </c>
      <c r="C42" s="21">
        <v>16</v>
      </c>
      <c r="D42" s="6" t="s">
        <v>49</v>
      </c>
      <c r="E42" s="21">
        <v>25</v>
      </c>
      <c r="F42" s="36" t="s">
        <v>49</v>
      </c>
      <c r="G42" s="21">
        <v>27</v>
      </c>
      <c r="H42" s="36" t="s">
        <v>49</v>
      </c>
      <c r="I42" s="21">
        <v>26</v>
      </c>
      <c r="J42" s="36" t="s">
        <v>49</v>
      </c>
      <c r="K42" s="21">
        <v>30</v>
      </c>
      <c r="L42" s="36" t="s">
        <v>49</v>
      </c>
      <c r="M42" s="21">
        <v>31</v>
      </c>
      <c r="N42" s="30"/>
    </row>
    <row r="43" spans="1:14" x14ac:dyDescent="0.35">
      <c r="A43" t="s">
        <v>217</v>
      </c>
      <c r="B43" s="6" t="s">
        <v>51</v>
      </c>
      <c r="C43" s="21">
        <v>132</v>
      </c>
      <c r="D43" s="6" t="s">
        <v>51</v>
      </c>
      <c r="E43" s="21">
        <v>143</v>
      </c>
      <c r="F43" s="36" t="s">
        <v>51</v>
      </c>
      <c r="G43" s="21">
        <v>136</v>
      </c>
      <c r="H43" s="36" t="s">
        <v>51</v>
      </c>
      <c r="I43" s="21">
        <v>152</v>
      </c>
      <c r="J43" s="36" t="s">
        <v>51</v>
      </c>
      <c r="K43" s="21">
        <v>181</v>
      </c>
      <c r="L43" s="36" t="s">
        <v>51</v>
      </c>
      <c r="M43" s="21">
        <v>146</v>
      </c>
      <c r="N43" s="30"/>
    </row>
    <row r="44" spans="1:14" x14ac:dyDescent="0.35">
      <c r="A44" t="s">
        <v>207</v>
      </c>
      <c r="B44" s="6" t="s">
        <v>52</v>
      </c>
      <c r="C44" s="21">
        <v>11</v>
      </c>
      <c r="D44" s="6" t="s">
        <v>52</v>
      </c>
      <c r="E44" s="21">
        <v>8</v>
      </c>
      <c r="F44" s="36" t="s">
        <v>52</v>
      </c>
      <c r="G44" s="21">
        <v>13</v>
      </c>
      <c r="H44" s="36" t="s">
        <v>52</v>
      </c>
      <c r="I44" s="21">
        <v>6</v>
      </c>
      <c r="J44" s="36" t="s">
        <v>52</v>
      </c>
      <c r="K44" s="21">
        <v>20</v>
      </c>
      <c r="L44" s="36" t="s">
        <v>52</v>
      </c>
      <c r="M44" s="21">
        <v>13</v>
      </c>
      <c r="N44" s="30"/>
    </row>
    <row r="45" spans="1:14" x14ac:dyDescent="0.35">
      <c r="A45" t="s">
        <v>218</v>
      </c>
      <c r="B45" s="6" t="s">
        <v>53</v>
      </c>
      <c r="C45" s="21">
        <v>13</v>
      </c>
      <c r="D45" s="6" t="s">
        <v>53</v>
      </c>
      <c r="E45" s="21">
        <v>15</v>
      </c>
      <c r="F45" s="36" t="s">
        <v>53</v>
      </c>
      <c r="G45" s="21">
        <v>10</v>
      </c>
      <c r="H45" s="36" t="s">
        <v>53</v>
      </c>
      <c r="I45" s="21">
        <v>16</v>
      </c>
      <c r="J45" s="36" t="s">
        <v>53</v>
      </c>
      <c r="K45" s="21">
        <v>12</v>
      </c>
      <c r="L45" s="36" t="s">
        <v>53</v>
      </c>
      <c r="M45" s="21">
        <v>9</v>
      </c>
      <c r="N45" s="30"/>
    </row>
    <row r="46" spans="1:14" x14ac:dyDescent="0.35">
      <c r="A46" t="s">
        <v>216</v>
      </c>
      <c r="B46" s="6" t="s">
        <v>55</v>
      </c>
      <c r="C46" s="21">
        <v>18</v>
      </c>
      <c r="D46" s="6" t="s">
        <v>55</v>
      </c>
      <c r="E46" s="21">
        <v>14</v>
      </c>
      <c r="F46" s="36" t="s">
        <v>55</v>
      </c>
      <c r="G46" s="21">
        <v>12</v>
      </c>
      <c r="H46" s="36" t="s">
        <v>55</v>
      </c>
      <c r="I46" s="21">
        <v>13</v>
      </c>
      <c r="J46" s="36" t="s">
        <v>55</v>
      </c>
      <c r="K46" s="21">
        <v>10</v>
      </c>
      <c r="L46" s="36" t="s">
        <v>55</v>
      </c>
      <c r="M46" s="21">
        <v>9</v>
      </c>
      <c r="N46" s="30"/>
    </row>
    <row r="47" spans="1:14" x14ac:dyDescent="0.35">
      <c r="A47" t="s">
        <v>225</v>
      </c>
      <c r="B47" s="35" t="s">
        <v>57</v>
      </c>
      <c r="C47" s="22" t="s">
        <v>4</v>
      </c>
      <c r="D47" s="35" t="s">
        <v>57</v>
      </c>
      <c r="E47" s="22" t="s">
        <v>4</v>
      </c>
      <c r="F47" s="36" t="s">
        <v>57</v>
      </c>
      <c r="G47" s="22" t="s">
        <v>4</v>
      </c>
      <c r="H47" s="36" t="s">
        <v>57</v>
      </c>
      <c r="I47" s="22" t="s">
        <v>4</v>
      </c>
      <c r="J47" s="36" t="s">
        <v>57</v>
      </c>
      <c r="K47" s="21">
        <v>32</v>
      </c>
      <c r="L47" s="36" t="s">
        <v>57</v>
      </c>
      <c r="M47" s="21">
        <v>14</v>
      </c>
      <c r="N47" s="30"/>
    </row>
    <row r="48" spans="1:14" x14ac:dyDescent="0.35">
      <c r="A48" t="s">
        <v>216</v>
      </c>
      <c r="B48" s="6" t="s">
        <v>180</v>
      </c>
      <c r="C48" s="21">
        <v>67</v>
      </c>
      <c r="D48" s="6" t="s">
        <v>180</v>
      </c>
      <c r="E48" s="21">
        <v>60</v>
      </c>
      <c r="F48" s="36" t="s">
        <v>180</v>
      </c>
      <c r="G48" s="21">
        <v>76</v>
      </c>
      <c r="H48" s="36" t="s">
        <v>180</v>
      </c>
      <c r="I48" s="21">
        <v>61</v>
      </c>
      <c r="J48" s="36" t="s">
        <v>180</v>
      </c>
      <c r="K48" s="21">
        <v>85</v>
      </c>
      <c r="L48" s="36" t="s">
        <v>180</v>
      </c>
      <c r="M48" s="21">
        <v>79</v>
      </c>
      <c r="N48" s="30"/>
    </row>
    <row r="49" spans="1:14" x14ac:dyDescent="0.35">
      <c r="A49" t="s">
        <v>216</v>
      </c>
      <c r="B49" s="6" t="s">
        <v>58</v>
      </c>
      <c r="C49" s="21">
        <v>57</v>
      </c>
      <c r="D49" s="6" t="s">
        <v>58</v>
      </c>
      <c r="E49" s="21">
        <v>51</v>
      </c>
      <c r="F49" s="36" t="s">
        <v>58</v>
      </c>
      <c r="G49" s="21">
        <v>49</v>
      </c>
      <c r="H49" s="36" t="s">
        <v>58</v>
      </c>
      <c r="I49" s="21">
        <v>35</v>
      </c>
      <c r="J49" s="36" t="s">
        <v>58</v>
      </c>
      <c r="K49" s="21">
        <v>44</v>
      </c>
      <c r="L49" s="36" t="s">
        <v>58</v>
      </c>
      <c r="M49" s="21">
        <v>73</v>
      </c>
      <c r="N49" s="30"/>
    </row>
    <row r="50" spans="1:14" x14ac:dyDescent="0.35">
      <c r="A50" t="s">
        <v>209</v>
      </c>
      <c r="B50" s="6" t="s">
        <v>59</v>
      </c>
      <c r="C50" s="21">
        <v>42</v>
      </c>
      <c r="D50" s="6" t="s">
        <v>59</v>
      </c>
      <c r="E50" s="21">
        <v>48</v>
      </c>
      <c r="F50" s="36" t="s">
        <v>59</v>
      </c>
      <c r="G50" s="21">
        <v>69</v>
      </c>
      <c r="H50" s="36" t="s">
        <v>59</v>
      </c>
      <c r="I50" s="21">
        <v>41</v>
      </c>
      <c r="J50" s="36" t="s">
        <v>59</v>
      </c>
      <c r="K50" s="21">
        <v>64</v>
      </c>
      <c r="L50" s="36" t="s">
        <v>59</v>
      </c>
      <c r="M50" s="21">
        <v>60</v>
      </c>
      <c r="N50" s="30"/>
    </row>
    <row r="51" spans="1:14" x14ac:dyDescent="0.35">
      <c r="A51" t="s">
        <v>209</v>
      </c>
      <c r="B51" s="6" t="s">
        <v>60</v>
      </c>
      <c r="C51" s="22" t="s">
        <v>4</v>
      </c>
      <c r="D51" s="6" t="s">
        <v>60</v>
      </c>
      <c r="E51" s="37" t="s">
        <v>4</v>
      </c>
      <c r="F51" s="36" t="s">
        <v>60</v>
      </c>
      <c r="G51" s="21">
        <v>26</v>
      </c>
      <c r="H51" s="36" t="s">
        <v>60</v>
      </c>
      <c r="I51" s="21">
        <v>190</v>
      </c>
      <c r="J51" s="36" t="s">
        <v>60</v>
      </c>
      <c r="K51" s="21">
        <v>289</v>
      </c>
      <c r="L51" s="36" t="s">
        <v>60</v>
      </c>
      <c r="M51" s="21">
        <v>542</v>
      </c>
      <c r="N51" s="30"/>
    </row>
    <row r="52" spans="1:14" x14ac:dyDescent="0.35">
      <c r="A52" t="s">
        <v>209</v>
      </c>
      <c r="B52" s="6" t="s">
        <v>61</v>
      </c>
      <c r="C52" s="21">
        <v>112</v>
      </c>
      <c r="D52" s="6" t="s">
        <v>61</v>
      </c>
      <c r="E52" s="21">
        <v>223</v>
      </c>
      <c r="F52" s="36" t="s">
        <v>61</v>
      </c>
      <c r="G52" s="21">
        <v>253</v>
      </c>
      <c r="H52" s="36" t="s">
        <v>61</v>
      </c>
      <c r="I52" s="21">
        <v>203</v>
      </c>
      <c r="J52" s="36" t="s">
        <v>61</v>
      </c>
      <c r="K52" s="21">
        <v>189</v>
      </c>
      <c r="L52" s="36" t="s">
        <v>61</v>
      </c>
      <c r="M52" s="21">
        <v>320</v>
      </c>
      <c r="N52" s="30"/>
    </row>
    <row r="53" spans="1:14" x14ac:dyDescent="0.35">
      <c r="A53" t="s">
        <v>209</v>
      </c>
      <c r="B53" s="6" t="s">
        <v>183</v>
      </c>
      <c r="C53" s="22" t="s">
        <v>4</v>
      </c>
      <c r="D53" s="6" t="s">
        <v>183</v>
      </c>
      <c r="E53" s="37" t="s">
        <v>4</v>
      </c>
      <c r="F53" s="36" t="s">
        <v>183</v>
      </c>
      <c r="G53" s="37" t="s">
        <v>4</v>
      </c>
      <c r="H53" s="36" t="s">
        <v>183</v>
      </c>
      <c r="I53" s="21">
        <v>15</v>
      </c>
      <c r="J53" s="36" t="s">
        <v>183</v>
      </c>
      <c r="K53" s="21">
        <v>23</v>
      </c>
      <c r="L53" s="36" t="s">
        <v>183</v>
      </c>
      <c r="M53" s="21">
        <v>47</v>
      </c>
      <c r="N53" s="30"/>
    </row>
    <row r="54" spans="1:14" x14ac:dyDescent="0.35">
      <c r="B54" s="6"/>
      <c r="D54" s="6"/>
      <c r="F54" s="6"/>
      <c r="H54" s="6"/>
      <c r="J54" s="6"/>
      <c r="L54" s="6"/>
      <c r="N54" s="56" t="s">
        <v>226</v>
      </c>
    </row>
    <row r="55" spans="1:14" x14ac:dyDescent="0.35">
      <c r="B55" s="50" t="s">
        <v>222</v>
      </c>
      <c r="C55" s="51">
        <f>SUM(C3:C52)</f>
        <v>2438</v>
      </c>
      <c r="D55" s="51"/>
      <c r="E55" s="51">
        <f>SUM(E3:E52)</f>
        <v>2999</v>
      </c>
      <c r="F55" s="51"/>
      <c r="G55" s="51">
        <f>SUM(G3:G52)</f>
        <v>3175</v>
      </c>
      <c r="H55" s="51"/>
      <c r="I55" s="51">
        <f>SUM(I3:I52)</f>
        <v>3154</v>
      </c>
      <c r="J55" s="51"/>
      <c r="K55" s="51">
        <f>SUM(K3:K52)</f>
        <v>3503</v>
      </c>
      <c r="L55" s="52"/>
      <c r="M55" s="51">
        <f>SUM(M3:M52)</f>
        <v>3634</v>
      </c>
      <c r="N55" s="53">
        <f>(M56-E56)/E56</f>
        <v>0.10466822274091368</v>
      </c>
    </row>
    <row r="56" spans="1:14" x14ac:dyDescent="0.35">
      <c r="B56" s="50" t="s">
        <v>189</v>
      </c>
      <c r="C56" s="54">
        <f>AVERAGE(C3:C53)</f>
        <v>55.409090909090907</v>
      </c>
      <c r="D56" s="52"/>
      <c r="E56" s="54">
        <f>AVERAGE(E3:E53)</f>
        <v>66.644444444444446</v>
      </c>
      <c r="F56" s="52"/>
      <c r="G56" s="54">
        <f>AVERAGE(G3:G53)</f>
        <v>70.555555555555557</v>
      </c>
      <c r="H56" s="52"/>
      <c r="I56" s="54">
        <f>AVERAGE(I3:I53)</f>
        <v>68.891304347826093</v>
      </c>
      <c r="J56" s="52"/>
      <c r="K56" s="54">
        <f>AVERAGE(K3:K53)</f>
        <v>73.458333333333329</v>
      </c>
      <c r="L56" s="52"/>
      <c r="M56" s="54">
        <f>AVERAGE(M3:M53)</f>
        <v>73.62</v>
      </c>
      <c r="N56" s="53">
        <f>(M57-E57)/E57</f>
        <v>1.9913419913419893E-2</v>
      </c>
    </row>
    <row r="57" spans="1:14" x14ac:dyDescent="0.35">
      <c r="B57" s="50" t="s">
        <v>190</v>
      </c>
      <c r="C57" s="54">
        <f>AVERAGE(C6:C8,C14,C17,C18,C21,C22,C24:C25,C29,C31,C32,C43:C49)</f>
        <v>52.94736842105263</v>
      </c>
      <c r="D57" s="52"/>
      <c r="E57" s="54">
        <f>AVERAGE(E6:E8,E14,E17,E18,E21,E22,E24:E25,E29,E31,E32,E43:E49)</f>
        <v>60.789473684210527</v>
      </c>
      <c r="F57" s="52"/>
      <c r="G57" s="54">
        <f>AVERAGE(G6:G8,G14,G17,G18,G21,G22,G24:G25,G29,G31,G32,G43:G49)</f>
        <v>67.611111111111114</v>
      </c>
      <c r="H57" s="52"/>
      <c r="I57" s="54">
        <f>AVERAGE(I6:I8,I14,I17,I18,I21,I22,I24:I25,I29,I31,I32,I43:I49)</f>
        <v>57.222222222222221</v>
      </c>
      <c r="J57" s="52"/>
      <c r="K57" s="54">
        <f>AVERAGE(K6:K8,K14,K17,K18,K21,K22,K24:K25,K29,K31,K32,K43:K49)</f>
        <v>66.368421052631575</v>
      </c>
      <c r="L57" s="52"/>
      <c r="M57" s="54">
        <f>AVERAGE(M6:M8,M14,M17,M18,M21,M22,M24:M25,M29,M31,M32,M43:M49)</f>
        <v>62</v>
      </c>
      <c r="N57" s="53">
        <f>(M57-E57)/E57</f>
        <v>1.9913419913419893E-2</v>
      </c>
    </row>
    <row r="58" spans="1:14" x14ac:dyDescent="0.35">
      <c r="B58" s="50" t="s">
        <v>191</v>
      </c>
      <c r="C58" s="54">
        <f>AVERAGE(C3,C11,C13,C15,C23,C33,C35:C39,C42,C50:C53)</f>
        <v>65.384615384615387</v>
      </c>
      <c r="D58" s="52"/>
      <c r="E58" s="54">
        <f>AVERAGE(E3,E11,E13,E15,E23,E33,E35:E39,E42,E50:E53)</f>
        <v>81.428571428571431</v>
      </c>
      <c r="F58" s="52"/>
      <c r="G58" s="54">
        <f>AVERAGE(G3,G11,G13,G15,G23,G33,G35:G39,G42,G50:G53)</f>
        <v>79.2</v>
      </c>
      <c r="H58" s="52"/>
      <c r="I58" s="54">
        <f>AVERAGE(I3,I11,I13,I15,I23,I33,I35:I39,I42,I50:I53)</f>
        <v>82.625</v>
      </c>
      <c r="J58" s="52"/>
      <c r="K58" s="54">
        <f>AVERAGE(K3,K11,K13,K15,K23,K33,K35:K39,K42,K50:K53)</f>
        <v>92.5</v>
      </c>
      <c r="L58" s="52"/>
      <c r="M58" s="54">
        <f>AVERAGE(M3,M11,M13,M15,M23,M33,M35:M39,M42,M50:M53)</f>
        <v>116.375</v>
      </c>
      <c r="N58" s="53">
        <f>(M58-E58)/E58</f>
        <v>0.42916666666666664</v>
      </c>
    </row>
    <row r="59" spans="1:14" x14ac:dyDescent="0.35">
      <c r="B59" s="50" t="s">
        <v>193</v>
      </c>
      <c r="C59" s="54">
        <f>AVERAGE(C4,C5,C9:C10,C12,C16,C19:C20,C26:C28,C30,C34,C40:C41)</f>
        <v>48.5</v>
      </c>
      <c r="D59" s="52"/>
      <c r="E59" s="54">
        <f>AVERAGE(E4,E5,E9:E10,E12,E16,E19:E20,E26:E28,E30,E34,E40:E41)</f>
        <v>58.666666666666664</v>
      </c>
      <c r="F59" s="52"/>
      <c r="G59" s="54">
        <f>AVERAGE(G4,G5,G9:G10,G12,G16,G19:G20,G26:G28,G30,G34,G40:G41)</f>
        <v>64.166666666666671</v>
      </c>
      <c r="H59" s="52"/>
      <c r="I59" s="54">
        <f>AVERAGE(I4,I5,I9:I10,I12,I16,I19:I20,I26:I28,I30,I34,I40:I41)</f>
        <v>68.083333333333329</v>
      </c>
      <c r="J59" s="52"/>
      <c r="K59" s="54">
        <f>AVERAGE(K4,K5,K9:K10,K12,K16,K19:K20,K26:K28,K30,K34,K40:K41)</f>
        <v>60.384615384615387</v>
      </c>
      <c r="L59" s="52"/>
      <c r="M59" s="54">
        <f>AVERAGE(M4,M5,M9:M10,M12,M16,M19:M20,M26:M28,M30,M34,M40:M41)</f>
        <v>42.733333333333334</v>
      </c>
      <c r="N59" s="55">
        <f>(M59-E59)/E59</f>
        <v>-0.27159090909090905</v>
      </c>
    </row>
    <row r="63" spans="1:14" x14ac:dyDescent="0.35">
      <c r="A63" s="40" t="s">
        <v>251</v>
      </c>
      <c r="B63" s="40"/>
      <c r="C63" s="40"/>
      <c r="D63" s="40"/>
      <c r="E63" s="40"/>
      <c r="F63" s="40"/>
      <c r="G63" s="40"/>
      <c r="H63" s="40"/>
      <c r="I63" s="40"/>
      <c r="J63" s="40"/>
      <c r="K63" s="40"/>
    </row>
    <row r="64" spans="1:14" x14ac:dyDescent="0.35">
      <c r="A64" s="40" t="s">
        <v>250</v>
      </c>
      <c r="B64" s="40">
        <v>2010</v>
      </c>
      <c r="C64" s="40">
        <v>2011</v>
      </c>
      <c r="D64" s="40">
        <v>2012</v>
      </c>
      <c r="E64" s="40">
        <v>2013</v>
      </c>
      <c r="F64" s="40">
        <v>2014</v>
      </c>
      <c r="G64" s="40">
        <v>2015</v>
      </c>
      <c r="H64" s="40">
        <v>2016</v>
      </c>
      <c r="I64" s="40">
        <v>2017</v>
      </c>
      <c r="J64" s="40" t="s">
        <v>256</v>
      </c>
      <c r="K64" s="40"/>
    </row>
    <row r="65" spans="1:11" x14ac:dyDescent="0.35">
      <c r="A65" t="s">
        <v>230</v>
      </c>
      <c r="B65">
        <v>1280</v>
      </c>
      <c r="C65">
        <v>1622</v>
      </c>
      <c r="D65">
        <v>1775</v>
      </c>
      <c r="E65">
        <v>1982</v>
      </c>
      <c r="F65">
        <v>2012</v>
      </c>
      <c r="G65">
        <v>2297</v>
      </c>
      <c r="H65">
        <v>2459</v>
      </c>
      <c r="I65">
        <v>2249</v>
      </c>
      <c r="J65" s="53">
        <f>(I65-B65)/B65</f>
        <v>0.75703125000000004</v>
      </c>
      <c r="K65"/>
    </row>
    <row r="66" spans="1:11" x14ac:dyDescent="0.35">
      <c r="A66" t="s">
        <v>231</v>
      </c>
      <c r="C66"/>
      <c r="E66"/>
      <c r="G66"/>
      <c r="I66"/>
      <c r="J66" s="53"/>
      <c r="K66"/>
    </row>
    <row r="67" spans="1:11" x14ac:dyDescent="0.35">
      <c r="A67" t="s">
        <v>232</v>
      </c>
      <c r="B67">
        <v>44.6</v>
      </c>
      <c r="C67">
        <v>47.2</v>
      </c>
      <c r="D67">
        <v>47.1</v>
      </c>
      <c r="E67">
        <v>48</v>
      </c>
      <c r="F67">
        <v>47.1</v>
      </c>
      <c r="G67">
        <v>50.2</v>
      </c>
      <c r="H67">
        <v>50.6</v>
      </c>
      <c r="I67">
        <v>49</v>
      </c>
      <c r="J67" s="53">
        <f>(I67-B67)/B67</f>
        <v>9.8654708520179338E-2</v>
      </c>
      <c r="K67"/>
    </row>
    <row r="68" spans="1:11" x14ac:dyDescent="0.35">
      <c r="A68" t="s">
        <v>233</v>
      </c>
      <c r="B68">
        <v>55.4</v>
      </c>
      <c r="C68">
        <v>52.8</v>
      </c>
      <c r="D68">
        <v>52.9</v>
      </c>
      <c r="E68">
        <v>52</v>
      </c>
      <c r="F68">
        <v>52.9</v>
      </c>
      <c r="G68">
        <v>49.8</v>
      </c>
      <c r="H68">
        <v>49.4</v>
      </c>
      <c r="I68">
        <v>51</v>
      </c>
      <c r="J68" s="55">
        <f>(I68-B68)/B68</f>
        <v>-7.9422382671480121E-2</v>
      </c>
      <c r="K68"/>
    </row>
    <row r="69" spans="1:11" x14ac:dyDescent="0.35">
      <c r="A69" t="s">
        <v>252</v>
      </c>
      <c r="C69"/>
      <c r="E69"/>
      <c r="G69"/>
      <c r="I69"/>
      <c r="J69" s="53"/>
      <c r="K69"/>
    </row>
    <row r="70" spans="1:11" x14ac:dyDescent="0.35">
      <c r="A70" t="s">
        <v>234</v>
      </c>
      <c r="C70"/>
      <c r="E70"/>
      <c r="G70"/>
      <c r="I70"/>
      <c r="J70" s="53"/>
      <c r="K70"/>
    </row>
    <row r="71" spans="1:11" x14ac:dyDescent="0.35">
      <c r="A71" t="s">
        <v>235</v>
      </c>
      <c r="B71">
        <v>13.1</v>
      </c>
      <c r="C71">
        <v>13</v>
      </c>
      <c r="D71">
        <v>12.6</v>
      </c>
      <c r="E71">
        <v>11.6</v>
      </c>
      <c r="F71">
        <v>12.2</v>
      </c>
      <c r="G71">
        <v>13.2</v>
      </c>
      <c r="H71">
        <v>12.8</v>
      </c>
      <c r="I71">
        <v>13.7</v>
      </c>
      <c r="J71" s="57">
        <f>(I71-B71)/B71</f>
        <v>4.5801526717557224E-2</v>
      </c>
      <c r="K71"/>
    </row>
    <row r="72" spans="1:11" x14ac:dyDescent="0.35">
      <c r="A72" t="s">
        <v>236</v>
      </c>
      <c r="B72">
        <v>16.7</v>
      </c>
      <c r="C72">
        <v>17</v>
      </c>
      <c r="D72">
        <v>16.899999999999999</v>
      </c>
      <c r="E72">
        <v>18.899999999999999</v>
      </c>
      <c r="F72">
        <v>19.600000000000001</v>
      </c>
      <c r="G72">
        <v>17.5</v>
      </c>
      <c r="H72">
        <v>18.5</v>
      </c>
      <c r="I72">
        <v>18.100000000000001</v>
      </c>
      <c r="J72" s="57">
        <f t="shared" ref="J72:J79" si="0">(I72-B72)/B72</f>
        <v>8.3832335329341451E-2</v>
      </c>
      <c r="K72"/>
    </row>
    <row r="73" spans="1:11" x14ac:dyDescent="0.35">
      <c r="A73" t="s">
        <v>237</v>
      </c>
      <c r="B73">
        <v>42.4</v>
      </c>
      <c r="C73">
        <v>46.9</v>
      </c>
      <c r="D73">
        <v>45.9</v>
      </c>
      <c r="E73">
        <v>45.7</v>
      </c>
      <c r="F73">
        <v>48</v>
      </c>
      <c r="G73">
        <v>47.5</v>
      </c>
      <c r="H73">
        <v>49.6</v>
      </c>
      <c r="I73">
        <v>48.7</v>
      </c>
      <c r="J73" s="57">
        <f t="shared" si="0"/>
        <v>0.14858490566037746</v>
      </c>
      <c r="K73"/>
    </row>
    <row r="74" spans="1:11" x14ac:dyDescent="0.35">
      <c r="A74" t="s">
        <v>238</v>
      </c>
      <c r="B74">
        <v>25.9</v>
      </c>
      <c r="C74">
        <v>22.1</v>
      </c>
      <c r="D74">
        <v>23.2</v>
      </c>
      <c r="E74">
        <v>22.1</v>
      </c>
      <c r="F74">
        <v>19.3</v>
      </c>
      <c r="G74">
        <v>20.9</v>
      </c>
      <c r="H74">
        <v>18.2</v>
      </c>
      <c r="I74">
        <v>18.100000000000001</v>
      </c>
      <c r="J74" s="55">
        <f t="shared" si="0"/>
        <v>-0.30115830115830106</v>
      </c>
      <c r="K74"/>
    </row>
    <row r="75" spans="1:11" x14ac:dyDescent="0.35">
      <c r="A75" t="s">
        <v>257</v>
      </c>
      <c r="C75"/>
      <c r="E75"/>
      <c r="G75"/>
      <c r="I75"/>
      <c r="J75" s="53"/>
      <c r="K75"/>
    </row>
    <row r="76" spans="1:11" x14ac:dyDescent="0.35">
      <c r="A76" t="s">
        <v>239</v>
      </c>
      <c r="B76">
        <v>24.4</v>
      </c>
      <c r="C76">
        <v>24.3</v>
      </c>
      <c r="D76">
        <v>23.5</v>
      </c>
      <c r="E76">
        <v>21.8</v>
      </c>
      <c r="F76">
        <v>24</v>
      </c>
      <c r="G76">
        <v>22.2</v>
      </c>
      <c r="H76">
        <v>22.8</v>
      </c>
      <c r="I76">
        <v>22.9</v>
      </c>
      <c r="J76" s="55">
        <f t="shared" si="0"/>
        <v>-6.147540983606558E-2</v>
      </c>
      <c r="K76"/>
    </row>
    <row r="77" spans="1:11" x14ac:dyDescent="0.35">
      <c r="A77" t="s">
        <v>240</v>
      </c>
      <c r="B77">
        <v>28.4</v>
      </c>
      <c r="C77">
        <v>30.6</v>
      </c>
      <c r="D77">
        <v>28.3</v>
      </c>
      <c r="E77">
        <v>27.3</v>
      </c>
      <c r="F77">
        <v>27.4</v>
      </c>
      <c r="G77">
        <v>32.299999999999997</v>
      </c>
      <c r="H77">
        <v>32.6</v>
      </c>
      <c r="I77">
        <v>33.200000000000003</v>
      </c>
      <c r="J77" s="57">
        <f t="shared" si="0"/>
        <v>0.16901408450704242</v>
      </c>
      <c r="K77"/>
    </row>
    <row r="78" spans="1:11" x14ac:dyDescent="0.35">
      <c r="A78" t="s">
        <v>241</v>
      </c>
      <c r="B78">
        <v>22.9</v>
      </c>
      <c r="C78">
        <v>21.5</v>
      </c>
      <c r="D78">
        <v>21.3</v>
      </c>
      <c r="E78">
        <v>21.8</v>
      </c>
      <c r="F78">
        <v>22</v>
      </c>
      <c r="G78">
        <v>21.6</v>
      </c>
      <c r="H78">
        <v>22</v>
      </c>
      <c r="I78">
        <v>21.2</v>
      </c>
      <c r="J78" s="55">
        <f t="shared" si="0"/>
        <v>-7.4235807860261988E-2</v>
      </c>
      <c r="K78"/>
    </row>
    <row r="79" spans="1:11" x14ac:dyDescent="0.35">
      <c r="A79" t="s">
        <v>242</v>
      </c>
      <c r="B79">
        <v>21.9</v>
      </c>
      <c r="C79">
        <v>21.6</v>
      </c>
      <c r="D79">
        <v>24.9</v>
      </c>
      <c r="E79">
        <v>25.7</v>
      </c>
      <c r="F79">
        <v>24</v>
      </c>
      <c r="G79">
        <v>21.1</v>
      </c>
      <c r="H79">
        <v>20.399999999999999</v>
      </c>
      <c r="I79">
        <v>21</v>
      </c>
      <c r="J79" s="55">
        <f t="shared" si="0"/>
        <v>-4.1095890410958839E-2</v>
      </c>
      <c r="K79"/>
    </row>
    <row r="80" spans="1:11" x14ac:dyDescent="0.35">
      <c r="A80" t="s">
        <v>253</v>
      </c>
      <c r="C80"/>
      <c r="E80"/>
      <c r="G80"/>
      <c r="I80"/>
      <c r="J80" s="53"/>
      <c r="K80"/>
    </row>
    <row r="81" spans="1:11" x14ac:dyDescent="0.35">
      <c r="A81" t="s">
        <v>254</v>
      </c>
      <c r="C81"/>
      <c r="E81"/>
      <c r="G81"/>
      <c r="I81"/>
      <c r="J81" s="53"/>
      <c r="K81"/>
    </row>
    <row r="82" spans="1:11" x14ac:dyDescent="0.35">
      <c r="A82" t="s">
        <v>243</v>
      </c>
      <c r="B82" s="1" t="s">
        <v>4</v>
      </c>
      <c r="C82">
        <v>52.1</v>
      </c>
      <c r="D82">
        <v>52.1</v>
      </c>
      <c r="E82">
        <v>53.2</v>
      </c>
      <c r="F82">
        <v>52.3</v>
      </c>
      <c r="G82">
        <v>50.1</v>
      </c>
      <c r="H82">
        <v>49.2</v>
      </c>
      <c r="I82">
        <v>48.4</v>
      </c>
      <c r="J82" s="55">
        <f>(I82-C82)/C82</f>
        <v>-7.1017274472168962E-2</v>
      </c>
      <c r="K82"/>
    </row>
    <row r="83" spans="1:11" x14ac:dyDescent="0.35">
      <c r="A83" t="s">
        <v>244</v>
      </c>
      <c r="B83" s="1" t="s">
        <v>4</v>
      </c>
      <c r="C83">
        <v>22.9</v>
      </c>
      <c r="D83">
        <v>22.4</v>
      </c>
      <c r="E83">
        <v>21.1</v>
      </c>
      <c r="F83">
        <v>20.5</v>
      </c>
      <c r="G83">
        <v>20.100000000000001</v>
      </c>
      <c r="H83">
        <v>21</v>
      </c>
      <c r="I83">
        <v>19.2</v>
      </c>
      <c r="J83" s="55">
        <f t="shared" ref="J83:J88" si="1">(I83-C83)/C83</f>
        <v>-0.16157205240174671</v>
      </c>
      <c r="K83"/>
    </row>
    <row r="84" spans="1:11" x14ac:dyDescent="0.35">
      <c r="A84" t="s">
        <v>255</v>
      </c>
      <c r="B84" s="1" t="s">
        <v>4</v>
      </c>
      <c r="C84">
        <v>10.199999999999999</v>
      </c>
      <c r="D84">
        <v>9.4</v>
      </c>
      <c r="E84">
        <v>9.4</v>
      </c>
      <c r="F84">
        <v>10.199999999999999</v>
      </c>
      <c r="G84">
        <v>10.6</v>
      </c>
      <c r="H84">
        <v>9.8000000000000007</v>
      </c>
      <c r="I84">
        <v>10.7</v>
      </c>
      <c r="J84" s="53">
        <f t="shared" si="1"/>
        <v>4.9019607843137261E-2</v>
      </c>
      <c r="K84"/>
    </row>
    <row r="85" spans="1:11" x14ac:dyDescent="0.35">
      <c r="A85" t="s">
        <v>245</v>
      </c>
      <c r="B85" s="1" t="s">
        <v>4</v>
      </c>
      <c r="C85">
        <v>9.4</v>
      </c>
      <c r="D85">
        <v>10.3</v>
      </c>
      <c r="E85">
        <v>9</v>
      </c>
      <c r="F85">
        <v>8.9</v>
      </c>
      <c r="G85">
        <v>10.3</v>
      </c>
      <c r="H85">
        <v>9.9</v>
      </c>
      <c r="I85">
        <v>10.199999999999999</v>
      </c>
      <c r="J85" s="53">
        <f t="shared" si="1"/>
        <v>8.5106382978723291E-2</v>
      </c>
      <c r="K85"/>
    </row>
    <row r="86" spans="1:11" x14ac:dyDescent="0.35">
      <c r="A86" t="s">
        <v>246</v>
      </c>
      <c r="B86" s="1" t="s">
        <v>4</v>
      </c>
      <c r="C86">
        <v>1.4</v>
      </c>
      <c r="D86">
        <v>1.6</v>
      </c>
      <c r="E86">
        <v>1.3</v>
      </c>
      <c r="F86">
        <v>1.9</v>
      </c>
      <c r="G86">
        <v>1.9</v>
      </c>
      <c r="H86">
        <v>1.7</v>
      </c>
      <c r="I86">
        <v>1.9</v>
      </c>
      <c r="J86" s="53">
        <f t="shared" si="1"/>
        <v>0.35714285714285715</v>
      </c>
      <c r="K86"/>
    </row>
    <row r="87" spans="1:11" x14ac:dyDescent="0.35">
      <c r="A87" t="s">
        <v>247</v>
      </c>
      <c r="B87" s="1" t="s">
        <v>4</v>
      </c>
      <c r="C87">
        <v>0.4</v>
      </c>
      <c r="D87">
        <v>0.3</v>
      </c>
      <c r="E87">
        <v>1</v>
      </c>
      <c r="F87">
        <v>0.7</v>
      </c>
      <c r="G87">
        <v>0.9</v>
      </c>
      <c r="H87">
        <v>1.1000000000000001</v>
      </c>
      <c r="I87">
        <v>1</v>
      </c>
      <c r="J87" s="53">
        <f t="shared" si="1"/>
        <v>1.4999999999999998</v>
      </c>
      <c r="K87"/>
    </row>
    <row r="88" spans="1:11" x14ac:dyDescent="0.35">
      <c r="A88" t="s">
        <v>248</v>
      </c>
      <c r="B88" s="1" t="s">
        <v>4</v>
      </c>
      <c r="C88">
        <v>3.6</v>
      </c>
      <c r="D88">
        <v>3.8</v>
      </c>
      <c r="E88">
        <v>5</v>
      </c>
      <c r="F88">
        <v>5.5</v>
      </c>
      <c r="G88">
        <v>6.1</v>
      </c>
      <c r="H88">
        <v>7.4</v>
      </c>
      <c r="I88">
        <v>8.6999999999999993</v>
      </c>
      <c r="J88" s="53">
        <f t="shared" si="1"/>
        <v>1.4166666666666665</v>
      </c>
      <c r="K88"/>
    </row>
    <row r="89" spans="1:11" x14ac:dyDescent="0.35">
      <c r="C89"/>
      <c r="E89"/>
      <c r="G89"/>
      <c r="I89"/>
      <c r="K89"/>
    </row>
    <row r="90" spans="1:11" x14ac:dyDescent="0.35">
      <c r="C90"/>
      <c r="E90"/>
      <c r="G90"/>
      <c r="I90"/>
      <c r="K90"/>
    </row>
    <row r="91" spans="1:11" x14ac:dyDescent="0.35">
      <c r="C91"/>
      <c r="E91"/>
      <c r="G91"/>
      <c r="I91"/>
      <c r="K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Dati Iscritti totali AA 2017-18</vt:lpstr>
      <vt:lpstr>Tabella offerte formative</vt:lpstr>
      <vt:lpstr>dati immatr. L-18 &amp; L-33</vt:lpstr>
      <vt:lpstr>Sheet3</vt:lpstr>
      <vt:lpstr>Immatr L-18</vt:lpstr>
      <vt:lpstr>Immatr &amp; Iscr L-33</vt:lpstr>
      <vt:lpstr>Laureati L-33 post studio</vt:lpstr>
      <vt:lpstr>Libri di testo</vt:lpstr>
      <vt:lpstr>Laureati LM-56</vt:lpstr>
      <vt:lpstr>Laureati LM-56 AlmaLaurea</vt:lpstr>
      <vt:lpstr>CFU CORSI DI LAUREA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giovanna</cp:lastModifiedBy>
  <dcterms:created xsi:type="dcterms:W3CDTF">2019-04-09T07:53:22Z</dcterms:created>
  <dcterms:modified xsi:type="dcterms:W3CDTF">2019-10-14T09:01:11Z</dcterms:modified>
</cp:coreProperties>
</file>